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svr-bda-file01\Entwicklung\reach\CMRT\"/>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8800" windowHeight="1413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F69"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<sst xmlns="http://schemas.openxmlformats.org/spreadsheetml/2006/main" count="22138" uniqueCount="15662">
  <si>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</si>
  <si>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</si>
  <si>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</si>
  <si>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</si>
  <si>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</si>
  <si>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</si>
  <si>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</si>
  <si>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</si>
  <si>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</si>
  <si>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</si>
  <si>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</si>
  <si>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</si>
  <si>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</si>
  <si>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</si>
  <si>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</si>
  <si>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</si>
  <si>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</si>
  <si>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</si>
  <si>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</si>
  <si>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</si>
  <si>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</si>
  <si>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</si>
  <si>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</si>
  <si>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</si>
  <si>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</si>
  <si>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</si>
  <si>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</si>
  <si>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</si>
  <si>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</si>
  <si>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</si>
  <si>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</si>
  <si>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</si>
  <si>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</si>
  <si>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</si>
  <si>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</si>
  <si>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</si>
  <si>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</si>
  <si>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</si>
  <si>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</si>
  <si>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</si>
  <si>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</si>
  <si>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</si>
  <si>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</si>
  <si>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</si>
  <si>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</si>
  <si>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</si>
  <si>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</si>
  <si>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</si>
  <si>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</si>
  <si>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</si>
  <si>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</si>
  <si>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</si>
  <si>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</si>
  <si>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</si>
  <si>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</si>
  <si>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</si>
  <si>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</si>
  <si>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</si>
  <si>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</si>
  <si>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</si>
  <si>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</si>
  <si>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</si>
  <si>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</si>
  <si>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</si>
  <si>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</si>
  <si>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</si>
  <si>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</si>
  <si>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</si>
  <si>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</si>
  <si>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</si>
  <si>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</si>
  <si>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</si>
  <si>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</si>
  <si>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</si>
  <si>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</si>
  <si>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</si>
  <si>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</si>
  <si>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</si>
  <si>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</si>
  <si>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</si>
  <si>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</si>
  <si>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</si>
  <si>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</si>
  <si>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</si>
  <si>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</si>
  <si>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</si>
  <si>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</si>
  <si>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</si>
  <si>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</si>
  <si>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</si>
  <si>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</si>
  <si>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</si>
  <si>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</si>
  <si>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</si>
  <si>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</si>
  <si>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</si>
  <si>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</si>
  <si>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</si>
  <si>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</si>
  <si>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</si>
  <si>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</si>
  <si>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</si>
  <si>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</si>
  <si>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</si>
  <si>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</si>
  <si>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</si>
  <si>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</si>
  <si>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</si>
  <si>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</si>
  <si>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</si>
  <si>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</si>
  <si>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</si>
  <si>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</si>
  <si>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</si>
  <si>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</si>
  <si>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</si>
  <si>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</si>
  <si>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</si>
  <si>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</si>
  <si>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</si>
  <si>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</si>
  <si>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</si>
  <si>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</si>
  <si>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</si>
  <si>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</si>
  <si>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</si>
  <si>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</si>
  <si>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</si>
  <si>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</si>
  <si>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</si>
  <si>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</si>
  <si>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</si>
  <si>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</si>
  <si>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</si>
  <si>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</si>
  <si>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</si>
  <si>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</si>
  <si>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</si>
  <si>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</si>
  <si>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</si>
  <si>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</si>
  <si>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</si>
  <si>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</si>
  <si>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</si>
  <si>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</si>
  <si>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</si>
  <si>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</si>
  <si>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</si>
  <si>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</si>
  <si>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</si>
  <si>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</si>
  <si>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</si>
  <si>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</si>
  <si>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</si>
  <si>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</si>
  <si>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</si>
  <si>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</si>
  <si>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</si>
  <si>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</si>
  <si>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</si>
  <si>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</si>
  <si>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</si>
  <si>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</si>
  <si>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</si>
  <si>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</si>
  <si>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</si>
  <si>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</si>
  <si>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</si>
  <si>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</si>
  <si>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</si>
  <si>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</si>
  <si>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</si>
  <si>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</si>
  <si>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</si>
  <si>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</si>
  <si>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</si>
  <si>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</si>
  <si>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</si>
  <si>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</si>
  <si>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</si>
  <si>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</si>
  <si>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</si>
  <si>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</si>
  <si>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</si>
  <si>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</si>
  <si>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</si>
  <si>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</si>
  <si>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</si>
  <si>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</si>
  <si>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</si>
  <si>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</si>
  <si>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</si>
  <si>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</si>
  <si>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</si>
  <si>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</si>
  <si>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</si>
  <si>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</si>
  <si>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</si>
  <si>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</si>
  <si>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</si>
  <si>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</si>
  <si>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</si>
  <si>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</si>
  <si>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</si>
  <si>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</si>
  <si>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</si>
  <si>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</si>
  <si>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</si>
  <si>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</si>
  <si>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</si>
  <si>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</si>
  <si>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</si>
  <si>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</si>
  <si>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</si>
  <si>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</si>
  <si>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</si>
  <si>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</si>
  <si>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</si>
  <si>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</si>
  <si>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</si>
  <si>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</si>
  <si>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</si>
  <si>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</si>
  <si>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</si>
  <si>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</si>
  <si>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</si>
  <si>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</si>
  <si>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</si>
  <si>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</si>
  <si>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</si>
  <si>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</si>
  <si>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</si>
  <si>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</si>
  <si>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</si>
  <si>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</si>
  <si>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</si>
  <si>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</si>
  <si>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</si>
  <si>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</si>
  <si>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</si>
  <si>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</si>
  <si>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</si>
  <si>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</si>
  <si>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</si>
  <si>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</si>
  <si>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</si>
  <si>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</si>
  <si>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</si>
  <si>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</si>
  <si>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</si>
  <si>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</si>
  <si>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</si>
  <si>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</si>
  <si>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</si>
  <si>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</si>
  <si>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</si>
  <si>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</si>
  <si>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</si>
  <si>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</si>
  <si>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</si>
  <si>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</si>
  <si>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</si>
  <si>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</si>
  <si>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</si>
  <si>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</si>
  <si>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</si>
  <si>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</si>
  <si>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</si>
  <si>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</si>
  <si>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</si>
  <si>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</si>
  <si>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</si>
  <si>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</si>
  <si>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</si>
  <si>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</si>
  <si>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</si>
  <si>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</si>
  <si>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</si>
  <si>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</si>
  <si>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</si>
  <si>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</si>
  <si>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</si>
  <si>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</si>
  <si>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</si>
  <si>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</si>
  <si>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</si>
  <si>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</si>
  <si>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</si>
  <si>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</si>
  <si>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</si>
  <si>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</si>
  <si>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</si>
  <si>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</si>
  <si>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</si>
  <si>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</si>
  <si>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</si>
  <si>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</si>
  <si>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</si>
  <si>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</si>
  <si>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</si>
  <si>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</si>
  <si>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</si>
  <si>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</si>
  <si>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</si>
  <si>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</si>
  <si>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</si>
  <si>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</si>
  <si>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</si>
  <si>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</si>
  <si>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</si>
  <si>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</si>
  <si>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</si>
  <si>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</si>
  <si>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</si>
  <si>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</si>
  <si>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</si>
  <si>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</si>
  <si>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</si>
  <si>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</si>
  <si>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</si>
  <si>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</si>
  <si>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</si>
  <si>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</si>
  <si>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</si>
  <si>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</si>
  <si>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</si>
  <si>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</si>
  <si>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</si>
  <si>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</si>
  <si>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</si>
  <si>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</si>
  <si>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</si>
  <si>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</si>
  <si>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</si>
  <si>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</si>
  <si>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</si>
  <si>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</si>
  <si>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</si>
  <si>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</si>
  <si>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</si>
  <si>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</si>
  <si>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</si>
  <si>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</si>
  <si>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</si>
  <si>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</si>
  <si>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</si>
  <si>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</si>
  <si>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</si>
  <si>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</si>
  <si>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</si>
  <si>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</si>
  <si>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</si>
  <si>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</si>
  <si>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</si>
  <si>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</si>
  <si>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</si>
  <si>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</si>
  <si>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</si>
  <si>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</si>
  <si>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</si>
  <si>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</si>
  <si>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</si>
  <si>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</si>
  <si>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</si>
  <si>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</si>
  <si>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</si>
  <si>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</si>
  <si>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</si>
  <si>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</si>
  <si>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</si>
  <si>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</si>
  <si>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</si>
  <si>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</si>
  <si>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</si>
  <si>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</si>
  <si>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</si>
  <si>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</si>
  <si>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</si>
  <si>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</si>
  <si>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</si>
  <si>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</si>
  <si>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</si>
  <si>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</si>
  <si>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</si>
  <si>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</si>
  <si>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</si>
  <si>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</si>
  <si>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</si>
  <si>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</si>
  <si>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</si>
  <si>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</si>
  <si>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</si>
  <si>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</si>
  <si>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</si>
  <si>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</si>
  <si>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</si>
  <si>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</si>
  <si>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</si>
  <si>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</si>
  <si>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</si>
  <si>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</si>
  <si>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</si>
  <si>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</si>
  <si>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</si>
  <si>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</si>
  <si>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</si>
  <si>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</si>
  <si>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</si>
  <si>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</si>
  <si>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</si>
  <si>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</si>
  <si>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</si>
  <si>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</si>
  <si>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</si>
  <si>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</si>
  <si>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</si>
  <si>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</si>
  <si>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</si>
  <si>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</si>
  <si>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</si>
  <si>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</si>
  <si>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</si>
  <si>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</si>
  <si>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</si>
  <si>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</si>
  <si>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</si>
  <si>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</si>
  <si>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</si>
  <si>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</si>
  <si>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</si>
  <si>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</si>
  <si>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</si>
  <si>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</si>
  <si>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</si>
  <si>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</si>
  <si>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</si>
  <si>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</si>
  <si>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</si>
  <si>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</si>
  <si>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</si>
  <si>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</si>
  <si>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</si>
  <si>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</si>
  <si>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</si>
  <si>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</si>
  <si>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</si>
  <si>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</si>
  <si>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</si>
  <si>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</si>
  <si>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</si>
  <si>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</si>
  <si>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</si>
  <si>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</si>
  <si>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</si>
  <si>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</si>
  <si>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</si>
  <si>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</si>
  <si>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</si>
  <si>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</si>
  <si>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</si>
  <si>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</si>
  <si>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</si>
  <si>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</si>
  <si>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</si>
  <si>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</si>
  <si>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</si>
  <si>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</si>
  <si>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</si>
  <si>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</si>
  <si>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</si>
  <si>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</si>
  <si>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</si>
  <si>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</si>
  <si>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</si>
  <si>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</si>
  <si>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</si>
  <si>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</si>
  <si>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</si>
  <si>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</si>
  <si>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</si>
  <si>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</si>
  <si>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</si>
  <si>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</si>
  <si>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</si>
  <si>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</si>
  <si>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</si>
  <si>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</si>
  <si>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</si>
  <si>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</si>
  <si>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</si>
  <si>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</si>
  <si>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</si>
  <si>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</si>
  <si>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</si>
  <si>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</si>
  <si>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</si>
  <si>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</si>
  <si>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</si>
  <si>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</si>
  <si>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</si>
  <si>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</si>
  <si>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</si>
  <si>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</si>
  <si>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</si>
  <si>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</si>
  <si>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</si>
  <si>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</si>
  <si>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</si>
  <si>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</si>
  <si>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</si>
  <si>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</si>
  <si>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</si>
  <si>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</si>
  <si>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</si>
  <si>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</si>
  <si>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</si>
  <si>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</si>
  <si>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</si>
  <si>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</si>
  <si>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</si>
  <si>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</si>
  <si>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</si>
  <si>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</si>
  <si>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</si>
  <si>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</si>
  <si>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</si>
  <si>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</si>
  <si>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</si>
  <si>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</si>
  <si>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</si>
  <si>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</si>
  <si>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</si>
  <si>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</si>
  <si>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</si>
  <si>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</si>
  <si>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</si>
  <si>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</si>
  <si>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</si>
  <si>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</si>
  <si>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</si>
  <si>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</si>
  <si>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</si>
  <si>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</si>
  <si>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</si>
  <si>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</si>
  <si>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</si>
  <si>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</si>
  <si>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</si>
  <si>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</si>
  <si>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</si>
  <si>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</si>
  <si>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</si>
  <si>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</si>
  <si>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</si>
  <si>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</si>
  <si>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</si>
  <si>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</si>
  <si>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</si>
  <si>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</si>
  <si>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</si>
  <si>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</si>
  <si>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</si>
  <si>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</si>
  <si>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</si>
  <si>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</si>
  <si>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</si>
  <si>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</si>
  <si>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</si>
  <si>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</si>
  <si>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</si>
  <si>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</si>
  <si>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</si>
  <si>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</si>
  <si>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</si>
  <si>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</si>
  <si>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</si>
  <si>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</si>
  <si>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</si>
  <si>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</si>
  <si>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</si>
  <si>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</si>
  <si>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</si>
  <si>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</si>
  <si>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</si>
  <si>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</si>
  <si>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</si>
  <si>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</si>
  <si>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</si>
  <si>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</si>
  <si>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</si>
  <si>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</si>
  <si>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</si>
  <si>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</si>
  <si>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</si>
  <si>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</si>
  <si>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</si>
  <si>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</si>
  <si>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</si>
  <si>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</si>
  <si>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</si>
  <si>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</si>
  <si>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</si>
  <si>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</si>
  <si>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</si>
  <si>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</si>
  <si>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</si>
  <si>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</si>
  <si>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</si>
  <si>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</si>
  <si>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</si>
  <si>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</si>
  <si>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</si>
  <si>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</si>
  <si>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</si>
  <si>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</si>
  <si>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</si>
  <si>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</si>
  <si>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</si>
  <si>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</si>
  <si>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</si>
  <si>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</si>
  <si>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</si>
  <si>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</si>
  <si>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</si>
  <si>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</si>
  <si>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</si>
  <si>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</si>
  <si>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</si>
  <si>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</si>
  <si>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</si>
  <si>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</si>
  <si>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</si>
  <si>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</si>
  <si>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</si>
  <si>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</si>
  <si>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</si>
  <si>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</si>
  <si>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</si>
  <si>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</si>
  <si>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</si>
  <si>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</si>
  <si>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</si>
  <si>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</si>
  <si>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</si>
  <si>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</si>
  <si>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</si>
  <si>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</si>
  <si>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</si>
  <si>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</si>
  <si>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</si>
  <si>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</si>
  <si>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</si>
  <si>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</si>
  <si>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</si>
  <si>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</si>
  <si>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</si>
  <si>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</si>
  <si>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</si>
  <si>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</si>
  <si>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</si>
  <si>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</si>
  <si>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</si>
  <si>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</si>
  <si>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</si>
  <si>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</si>
  <si>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</si>
  <si>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</si>
  <si>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</si>
  <si>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</si>
  <si>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</si>
  <si>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</si>
  <si>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</si>
  <si>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</si>
  <si>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</si>
  <si>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</si>
  <si>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</si>
  <si>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</si>
  <si>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</si>
  <si>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</si>
  <si>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</si>
  <si>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</si>
  <si>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</si>
  <si>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</si>
  <si>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</si>
  <si>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</si>
  <si>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</si>
  <si>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</si>
  <si>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</si>
  <si>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</si>
  <si>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</si>
  <si>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</si>
  <si>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</si>
  <si>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</si>
  <si>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</si>
  <si>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</si>
  <si>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</si>
  <si>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</si>
  <si>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</si>
  <si>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</si>
  <si>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</si>
  <si>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</si>
  <si>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</si>
  <si>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</si>
  <si>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</si>
  <si>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</si>
  <si>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</si>
  <si>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</si>
  <si>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</si>
  <si>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</si>
  <si>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</si>
  <si>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</si>
  <si>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</si>
  <si>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</si>
  <si>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</si>
  <si>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</si>
  <si>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</si>
  <si>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</si>
  <si>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</si>
  <si>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</si>
  <si>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</si>
  <si>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</si>
  <si>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</si>
  <si>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</si>
  <si>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</si>
  <si>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</si>
  <si>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</si>
  <si>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</si>
  <si>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</si>
  <si>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</si>
  <si>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</si>
  <si>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</si>
  <si>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</si>
  <si>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</si>
  <si>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</si>
  <si>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</si>
  <si>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</si>
  <si>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</si>
  <si>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</si>
  <si>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</si>
  <si>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</si>
  <si>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</si>
  <si>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</si>
  <si>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</si>
  <si>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</si>
  <si>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</si>
  <si>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</si>
  <si>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</si>
  <si>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</si>
  <si>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</si>
  <si>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</si>
  <si>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</si>
  <si>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</si>
  <si>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</si>
  <si>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</si>
  <si>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</si>
  <si>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</si>
  <si>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</si>
  <si>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</si>
  <si>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</si>
  <si>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</si>
  <si>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</si>
  <si>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</si>
  <si>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</si>
  <si>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</si>
  <si>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</si>
  <si>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</si>
  <si>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</si>
  <si>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</si>
  <si>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</si>
  <si>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</si>
  <si>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</si>
  <si>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</si>
  <si>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</si>
  <si>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</si>
  <si>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</si>
  <si>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</si>
  <si>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</si>
  <si>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</si>
  <si>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</si>
  <si>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</si>
  <si>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</si>
  <si>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</si>
  <si>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</si>
  <si>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</si>
  <si>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</si>
  <si>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</si>
  <si>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</si>
  <si>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</si>
  <si>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</si>
  <si>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</si>
  <si>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</si>
  <si>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</si>
  <si>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</si>
  <si>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</si>
  <si>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</si>
  <si>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</si>
  <si>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</si>
  <si>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</si>
  <si>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</si>
  <si>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</si>
  <si>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</si>
  <si>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</si>
  <si>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</si>
  <si>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</si>
  <si>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</si>
  <si>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</si>
  <si>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</si>
  <si>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</si>
  <si>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</si>
  <si>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</si>
  <si>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</si>
  <si>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</si>
  <si>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</si>
  <si>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</si>
  <si>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</si>
  <si>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</si>
  <si>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</si>
  <si>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</si>
  <si>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</si>
  <si>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</si>
  <si>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</si>
  <si>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</si>
  <si>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</si>
  <si>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</si>
  <si>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</si>
  <si>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</si>
  <si>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</si>
  <si>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</si>
  <si>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</si>
  <si>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</si>
  <si>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</si>
  <si>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</si>
  <si>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</si>
  <si>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</si>
  <si>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</si>
  <si>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</si>
  <si>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</si>
  <si>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</si>
  <si>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</si>
  <si>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</si>
  <si>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</si>
  <si>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</si>
  <si>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</si>
  <si>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</si>
  <si>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</si>
  <si>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</si>
  <si>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</si>
  <si>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</si>
  <si>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</si>
  <si>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</si>
  <si>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</si>
  <si>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</si>
  <si>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</si>
  <si>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</si>
  <si>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</si>
  <si>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</si>
  <si>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</si>
  <si>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</si>
  <si>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</si>
  <si>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</si>
  <si>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</si>
  <si>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</si>
  <si>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</si>
  <si>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</si>
  <si>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</si>
  <si>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</si>
  <si>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</si>
  <si>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</si>
  <si>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</si>
  <si>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</si>
  <si>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</si>
  <si>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</si>
  <si>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</si>
  <si>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</si>
  <si>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</si>
  <si>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</si>
  <si>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</si>
  <si>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</si>
  <si>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</si>
  <si>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</si>
  <si>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</si>
  <si>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</si>
  <si>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</si>
  <si>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</si>
  <si>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</si>
  <si>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</si>
  <si>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</si>
  <si>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</si>
  <si>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</si>
  <si>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</si>
  <si>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</si>
  <si>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</si>
  <si>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</si>
  <si>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</si>
  <si>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</si>
  <si>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</si>
  <si>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</si>
  <si>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</si>
  <si>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</si>
  <si>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</si>
  <si>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</si>
  <si>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</si>
  <si>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</si>
  <si>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</si>
  <si>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</si>
  <si>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</si>
  <si>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</si>
  <si>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</si>
  <si>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</si>
  <si>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</si>
  <si>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</si>
  <si>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</si>
  <si>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</si>
  <si>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</si>
  <si>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</si>
  <si>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</si>
  <si>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</si>
  <si>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</si>
  <si>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</si>
  <si>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</si>
  <si>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</si>
  <si>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</si>
  <si>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</si>
  <si>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</si>
  <si>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</si>
  <si>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</si>
  <si>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</si>
  <si>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</si>
  <si>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</si>
  <si>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</si>
  <si>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</si>
  <si>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</si>
  <si>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</si>
  <si>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</si>
  <si>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</si>
  <si>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</si>
  <si>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</si>
  <si>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</si>
  <si>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</si>
  <si>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</si>
  <si>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</si>
  <si>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</si>
  <si>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</si>
  <si>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</si>
  <si>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</si>
  <si>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</si>
  <si>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</si>
  <si>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</si>
  <si>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</si>
  <si>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</si>
  <si>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</si>
  <si>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</si>
  <si>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</si>
  <si>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</si>
  <si>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</si>
  <si>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</si>
  <si>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</si>
  <si>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</si>
  <si>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</si>
  <si>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</si>
  <si>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</si>
  <si>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</si>
  <si>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</si>
  <si>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</si>
  <si>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</si>
  <si>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</si>
  <si>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</si>
  <si>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</si>
  <si>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</si>
  <si>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</si>
  <si>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</si>
  <si>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</si>
  <si>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</si>
  <si>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</si>
  <si>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</si>
  <si>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</si>
  <si>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</si>
  <si>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</si>
  <si>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</si>
  <si>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</si>
  <si>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</si>
  <si>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</si>
  <si>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</si>
  <si>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</si>
  <si>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</si>
  <si>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</si>
  <si>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</si>
  <si>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</si>
  <si>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</si>
  <si>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</si>
  <si>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</si>
  <si>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</si>
  <si>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</si>
  <si>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</si>
  <si>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</si>
  <si>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</si>
  <si>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</si>
  <si>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</si>
  <si>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</si>
  <si>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</si>
  <si>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</si>
  <si>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</si>
  <si>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</si>
  <si>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</si>
  <si>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</si>
  <si>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</si>
  <si>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</si>
  <si>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</si>
  <si>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</si>
  <si>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</si>
  <si>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</si>
  <si>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</si>
  <si>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</si>
  <si>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</si>
  <si>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</si>
  <si>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</si>
  <si>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</si>
  <si>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</si>
  <si>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</si>
  <si>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</si>
  <si>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</si>
  <si>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</si>
  <si>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</si>
  <si>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</si>
  <si>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</si>
  <si>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</si>
  <si>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</si>
  <si>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</si>
  <si>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</si>
  <si>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</si>
  <si>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</si>
  <si>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</si>
  <si>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</si>
  <si>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</si>
  <si>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</si>
  <si>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</si>
  <si>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</si>
  <si>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</si>
  <si>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</si>
  <si>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</si>
  <si>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</si>
  <si>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</si>
  <si>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</si>
  <si>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</si>
  <si>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</si>
  <si>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</si>
  <si>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</si>
  <si>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</si>
  <si>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</si>
  <si>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</si>
  <si>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</si>
  <si>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</si>
  <si>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</si>
  <si>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</si>
  <si>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</si>
  <si>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</si>
  <si>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</si>
  <si>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</si>
  <si>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</si>
  <si>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</si>
  <si>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</si>
  <si>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</si>
  <si>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</si>
  <si>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</si>
  <si>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</si>
  <si>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</si>
  <si>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</si>
  <si>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</si>
  <si>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</si>
  <si>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</si>
  <si>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</si>
  <si>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</si>
  <si>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</si>
  <si>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</si>
  <si>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</si>
  <si>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</si>
  <si>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</si>
  <si>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</si>
  <si>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</si>
  <si>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</si>
  <si>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</si>
  <si>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</si>
  <si>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</si>
  <si>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</si>
  <si>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</si>
  <si>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</si>
  <si>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</si>
  <si>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</si>
  <si>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</si>
  <si>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</si>
  <si>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</si>
  <si>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</si>
  <si>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</si>
  <si>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</si>
  <si>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</si>
  <si>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</si>
  <si>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</si>
  <si>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</si>
  <si>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</si>
  <si>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</si>
  <si>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</si>
  <si>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</si>
  <si>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</si>
  <si>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</si>
  <si>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</si>
  <si>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</si>
  <si>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</si>
  <si>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</si>
  <si>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</si>
  <si>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</si>
  <si>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</si>
  <si>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</si>
  <si>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</si>
  <si>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</si>
  <si>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</si>
  <si>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</si>
  <si>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</si>
  <si>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</si>
  <si>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</si>
  <si>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</si>
  <si>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</si>
  <si>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</si>
  <si>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</si>
  <si>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</si>
  <si>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</si>
  <si>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</si>
  <si>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</si>
  <si>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</si>
  <si>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</si>
  <si>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</si>
  <si>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</si>
  <si>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</si>
  <si>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</si>
  <si>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</si>
  <si>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</si>
  <si>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</si>
  <si>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</si>
  <si>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</si>
  <si>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</si>
  <si>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</si>
  <si>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</si>
  <si>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</si>
  <si>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</si>
  <si>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</si>
  <si>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</si>
  <si>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</si>
  <si>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</si>
  <si>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</si>
  <si>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</si>
  <si>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</si>
  <si>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</si>
  <si>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</si>
  <si>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</si>
  <si>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</si>
  <si>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</si>
  <si>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</si>
  <si>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</si>
  <si>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</si>
  <si>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</si>
  <si>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</si>
  <si>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</si>
  <si>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</si>
  <si>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</si>
  <si>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</si>
  <si>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</si>
  <si>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</si>
  <si>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</si>
  <si>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</si>
  <si>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</si>
  <si>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</si>
  <si>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</si>
  <si>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</si>
  <si>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</si>
  <si>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</si>
  <si>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</si>
  <si>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</si>
  <si>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</si>
  <si>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</si>
  <si>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</si>
  <si>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</si>
  <si>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</si>
  <si>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</si>
  <si>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</si>
  <si>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</si>
  <si>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</si>
  <si>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</si>
  <si>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</si>
  <si>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</si>
  <si>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</si>
  <si>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</si>
  <si>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</si>
  <si>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</si>
  <si>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</si>
  <si>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</si>
  <si>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</si>
  <si>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</si>
  <si>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</si>
  <si>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</si>
  <si>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</si>
  <si>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</si>
  <si>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</si>
  <si>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</si>
  <si>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</si>
  <si>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</si>
  <si>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</si>
  <si>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</si>
  <si>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</si>
  <si>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</si>
  <si>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</si>
  <si>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</si>
  <si>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</si>
  <si>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</si>
  <si>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</si>
  <si>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</si>
  <si>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</si>
  <si>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</si>
  <si>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</si>
  <si>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</si>
  <si>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</si>
  <si>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</si>
  <si>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</si>
  <si>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</si>
  <si>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</si>
  <si>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</si>
  <si>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</si>
  <si>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</si>
  <si>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</si>
  <si>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</si>
  <si>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</si>
  <si>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</si>
  <si>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</si>
  <si>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</si>
  <si>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</si>
  <si>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</si>
  <si>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</si>
  <si>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</si>
  <si>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</si>
  <si>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</si>
  <si>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</si>
  <si>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</si>
  <si>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</si>
  <si>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</si>
  <si>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</si>
  <si>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</si>
  <si>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</si>
  <si>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</si>
  <si>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</si>
  <si>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</si>
  <si>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</si>
  <si>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</si>
  <si>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</si>
  <si>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</si>
  <si>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</si>
  <si>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</si>
  <si>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</si>
  <si>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</si>
  <si>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</si>
  <si>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</si>
  <si>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</si>
  <si>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</si>
  <si>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</si>
  <si>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</si>
  <si>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</si>
  <si>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</si>
  <si>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</si>
  <si>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</si>
  <si>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</si>
  <si>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</si>
  <si>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</si>
  <si>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</si>
  <si>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</si>
  <si>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</si>
  <si>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</si>
  <si>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</si>
  <si>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</si>
  <si>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</si>
  <si>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</si>
  <si>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</si>
  <si>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</si>
  <si>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</si>
  <si>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</si>
  <si>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</si>
  <si>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</si>
  <si>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</si>
  <si>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</si>
  <si>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</si>
  <si>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</si>
  <si>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</si>
  <si>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</si>
  <si>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</si>
  <si>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</si>
  <si>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</si>
  <si>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</si>
  <si>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</si>
  <si>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</si>
  <si>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</si>
  <si>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</si>
  <si>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</si>
  <si>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</si>
  <si>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</si>
  <si>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</si>
  <si>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</si>
  <si>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</si>
  <si>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</si>
  <si>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</si>
  <si>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</si>
  <si>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</si>
  <si>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</si>
  <si>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</si>
  <si>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</si>
  <si>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</si>
  <si>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</si>
  <si>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</si>
  <si>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</si>
  <si>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</si>
  <si>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</si>
  <si>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</si>
  <si>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</si>
  <si>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</si>
  <si>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</si>
  <si>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</si>
  <si>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</si>
  <si>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</si>
  <si>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</si>
  <si>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</si>
  <si>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</si>
  <si>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</si>
  <si>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</si>
  <si>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</si>
  <si>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</si>
  <si>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</si>
  <si>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</si>
  <si>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</si>
  <si>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</si>
  <si>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</si>
  <si>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</si>
  <si>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</si>
  <si>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</si>
  <si>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</si>
  <si>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</si>
  <si>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</si>
  <si>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</si>
  <si>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</si>
  <si>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</si>
  <si>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</si>
  <si>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</si>
  <si>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</si>
  <si>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</si>
  <si>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</si>
  <si>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</si>
  <si>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</si>
  <si>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</si>
  <si>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</si>
  <si>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</si>
  <si>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</si>
  <si>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</si>
  <si>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</si>
  <si>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</si>
  <si>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</si>
  <si>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</si>
  <si>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</si>
  <si>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</si>
  <si>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</si>
  <si>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</si>
  <si>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</si>
  <si>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</si>
  <si>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</si>
  <si>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</si>
  <si>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</si>
  <si>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</si>
  <si>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</si>
  <si>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</si>
  <si>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</si>
  <si>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</si>
  <si>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</si>
  <si>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</si>
  <si>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</si>
  <si>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</si>
  <si>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</si>
  <si>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</si>
  <si>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</si>
  <si>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</si>
  <si>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</si>
  <si>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</si>
  <si>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</si>
  <si>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</si>
  <si>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</si>
  <si>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</si>
  <si>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</si>
  <si>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</si>
  <si>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</si>
  <si>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</si>
  <si>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</si>
  <si>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</si>
  <si>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</si>
  <si>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</si>
  <si>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</si>
  <si>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</si>
  <si>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</si>
  <si>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</si>
  <si>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</si>
  <si>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</si>
  <si>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</si>
  <si>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</si>
  <si>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</si>
  <si>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</si>
  <si>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</si>
  <si>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</si>
  <si>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</si>
  <si>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</si>
  <si>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</si>
  <si>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</si>
  <si>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</si>
  <si>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</si>
  <si>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</si>
  <si>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</si>
  <si>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</si>
  <si>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</si>
  <si>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</si>
  <si>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</si>
  <si>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</si>
  <si>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</si>
  <si>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</si>
  <si>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</si>
  <si>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</si>
  <si>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</si>
  <si>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</si>
  <si>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</si>
  <si>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</si>
  <si>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</si>
  <si>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</si>
  <si>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</si>
  <si>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</si>
  <si>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</si>
  <si>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</si>
  <si>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</si>
  <si>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</si>
  <si>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</si>
  <si>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</si>
  <si>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</si>
  <si>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</si>
  <si>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</si>
  <si>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</si>
  <si>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</si>
  <si>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</si>
  <si>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</si>
  <si>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</si>
  <si>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</si>
  <si>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</si>
  <si>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</si>
  <si>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</si>
  <si>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</si>
  <si>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</si>
  <si>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</si>
  <si>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</si>
  <si>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</si>
  <si>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</si>
  <si>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</si>
  <si>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</si>
  <si>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</si>
  <si>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</si>
  <si>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</si>
  <si>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</si>
  <si>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</si>
  <si>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</si>
  <si>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</si>
  <si>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</si>
  <si>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</si>
  <si>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</si>
  <si>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</si>
  <si>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</si>
  <si>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</si>
  <si>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</si>
  <si>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</si>
  <si>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</si>
  <si>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</si>
  <si>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</si>
  <si>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</si>
  <si>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</si>
  <si>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</si>
  <si>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</si>
  <si>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</si>
  <si>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</si>
  <si>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</si>
  <si>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</si>
  <si>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</si>
  <si>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</si>
  <si>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</si>
  <si>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</si>
  <si>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</si>
  <si>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</si>
  <si>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</si>
  <si>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</si>
  <si>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</si>
  <si>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</si>
  <si>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</si>
  <si>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</si>
  <si>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</si>
  <si>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</si>
  <si>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</si>
  <si>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</si>
  <si>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</si>
  <si>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</si>
  <si>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</si>
  <si>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</si>
  <si>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</si>
  <si>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</si>
  <si>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</si>
  <si>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</si>
  <si>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</si>
  <si>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</si>
  <si>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</si>
  <si>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</si>
  <si>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</si>
  <si>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</si>
  <si>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</si>
  <si>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</si>
  <si>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</si>
  <si>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</si>
  <si>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</si>
  <si>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</si>
  <si>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</si>
  <si>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</si>
  <si>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</si>
  <si>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</si>
  <si>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</si>
  <si>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</si>
  <si>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</si>
  <si>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</si>
  <si>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</si>
  <si>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</si>
  <si>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</si>
  <si>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</si>
  <si>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</si>
  <si>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</si>
  <si>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</si>
  <si>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</si>
  <si>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</si>
  <si>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</si>
  <si>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</si>
  <si>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</si>
  <si>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</si>
  <si>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</si>
  <si>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</si>
  <si>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</si>
  <si>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</si>
  <si>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</si>
  <si>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</si>
  <si>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</si>
  <si>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</si>
  <si>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</si>
  <si>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</si>
  <si>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</si>
  <si>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</si>
  <si>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</si>
  <si>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</si>
  <si>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</si>
  <si>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</si>
  <si>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</si>
  <si>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</si>
  <si>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</si>
  <si>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</si>
  <si>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</si>
  <si>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</si>
  <si>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</si>
  <si>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</si>
  <si>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</si>
  <si>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</si>
  <si>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</si>
  <si>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</si>
  <si>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</si>
  <si>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</si>
  <si>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</si>
  <si>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</si>
  <si>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</si>
  <si>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</si>
  <si>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</si>
  <si>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</si>
  <si>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</si>
  <si>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</si>
  <si>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</si>
  <si>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</si>
  <si>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</si>
  <si>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</si>
  <si>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</si>
  <si>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</si>
  <si>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</si>
  <si>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</si>
  <si>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</si>
  <si>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</si>
  <si>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</si>
  <si>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</si>
  <si>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</si>
  <si>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</si>
  <si>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</si>
  <si>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</si>
  <si>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</si>
  <si>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</si>
  <si>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</si>
  <si>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</si>
  <si>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</si>
  <si>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</si>
  <si>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</si>
  <si>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</si>
  <si>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</si>
  <si>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</si>
  <si>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</si>
  <si>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</si>
  <si>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</si>
  <si>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</si>
  <si>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</si>
  <si>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</si>
  <si>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</si>
  <si>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</si>
  <si>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</si>
  <si>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</si>
  <si>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</si>
  <si>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</si>
  <si>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</si>
  <si>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</si>
  <si>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</si>
  <si>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</si>
  <si>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</si>
  <si>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</si>
  <si>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</si>
  <si>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</si>
  <si>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</si>
  <si>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</si>
  <si>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</si>
  <si>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</si>
  <si>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</si>
  <si>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</si>
  <si>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</si>
  <si>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</si>
  <si>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</si>
  <si>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</si>
  <si>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</si>
  <si>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</si>
  <si>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</si>
  <si>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</si>
  <si>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</si>
  <si>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</si>
  <si>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</si>
  <si>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</si>
  <si>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</si>
  <si>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</si>
  <si>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</si>
  <si>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</si>
  <si>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</si>
  <si>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</si>
  <si>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</si>
  <si>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</si>
  <si>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</si>
  <si>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</si>
  <si>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</si>
  <si>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</si>
  <si>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</si>
  <si>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</si>
  <si>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</si>
  <si>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</si>
  <si>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</si>
  <si>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</si>
  <si>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</si>
  <si>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</si>
  <si>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</si>
  <si>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</si>
  <si>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</si>
  <si>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</si>
  <si>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</si>
  <si>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</si>
  <si>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</si>
  <si>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</si>
  <si>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</si>
  <si>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</si>
  <si>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</si>
  <si>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</si>
  <si>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</si>
  <si>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</si>
  <si>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</si>
  <si>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</si>
  <si>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</si>
  <si>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</si>
  <si>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</si>
  <si>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</si>
  <si>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</si>
  <si>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</si>
  <si>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</si>
  <si>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</si>
  <si>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</si>
  <si>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</si>
  <si>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</si>
  <si>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</si>
  <si>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</si>
  <si>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</si>
  <si>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</si>
  <si>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</si>
  <si>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</si>
  <si>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</si>
  <si>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</si>
  <si>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</si>
  <si>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</si>
  <si>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</si>
  <si>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</si>
  <si>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</si>
  <si>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</si>
  <si>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</si>
  <si>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</si>
  <si>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</si>
  <si>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</si>
  <si>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</si>
  <si>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</si>
  <si>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</si>
  <si>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</si>
  <si>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</si>
  <si>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</si>
  <si>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</si>
  <si>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</si>
  <si>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</si>
  <si>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</si>
  <si>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</si>
  <si>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</si>
  <si>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</si>
  <si>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</si>
  <si>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</si>
  <si>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</si>
  <si>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</si>
  <si>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</si>
  <si>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</si>
  <si>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</si>
  <si>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</si>
  <si>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</si>
  <si>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</si>
  <si>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</si>
  <si>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</si>
  <si>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</si>
  <si>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</si>
  <si>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</si>
  <si>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</si>
  <si>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</si>
  <si>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</si>
  <si>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</si>
  <si>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</si>
  <si>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</si>
  <si>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</si>
  <si>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</si>
  <si>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</si>
  <si>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</si>
  <si>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</si>
  <si>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</si>
  <si>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</si>
  <si>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</si>
  <si>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</si>
  <si>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</si>
  <si>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</si>
  <si>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</si>
  <si>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</si>
  <si>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</si>
  <si>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</si>
  <si>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</si>
  <si>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</si>
  <si>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</si>
  <si>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</si>
  <si>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</si>
  <si>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</si>
  <si>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</si>
  <si>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</si>
  <si>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</si>
  <si>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</si>
  <si>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</si>
  <si>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</si>
  <si>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</si>
  <si>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</si>
  <si>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</si>
  <si>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</si>
  <si>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</si>
  <si>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</si>
  <si>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</si>
  <si>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</si>
  <si>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</si>
  <si>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</si>
  <si>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</si>
  <si>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</si>
  <si>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</si>
  <si>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</si>
  <si>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</si>
  <si>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</si>
  <si>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</si>
  <si>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</si>
  <si>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</si>
  <si>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</si>
  <si>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</si>
  <si>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</si>
  <si>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</si>
  <si>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</si>
  <si>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</si>
  <si>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</si>
  <si>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</si>
  <si>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</si>
  <si>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</si>
  <si>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</si>
  <si>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</si>
  <si>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</si>
  <si>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</si>
  <si>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</si>
  <si>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</si>
  <si>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</si>
  <si>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</si>
  <si>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</si>
  <si>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</si>
  <si>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</si>
  <si>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</si>
  <si>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</si>
  <si>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</si>
  <si>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</si>
  <si>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</si>
  <si>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</si>
  <si>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</si>
  <si>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</si>
  <si>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</si>
  <si>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</si>
  <si>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</si>
  <si>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</si>
  <si>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</si>
  <si>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</si>
  <si>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</si>
  <si>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</si>
  <si>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</si>
  <si>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</si>
  <si>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</si>
  <si>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</si>
  <si>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</si>
  <si>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</si>
  <si>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</si>
  <si>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</si>
  <si>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</si>
  <si>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</si>
  <si>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</si>
  <si>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</si>
  <si>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</si>
  <si>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</si>
  <si>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</si>
  <si>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</si>
  <si>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</si>
  <si>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</si>
  <si>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</si>
  <si>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</si>
  <si>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</si>
  <si>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</si>
  <si>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</si>
  <si>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</si>
  <si>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</si>
  <si>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</si>
  <si>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</si>
  <si>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</si>
  <si>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</si>
  <si>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</si>
  <si>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</si>
  <si>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</si>
  <si>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</si>
  <si>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</si>
  <si>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</si>
  <si>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</si>
  <si>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</si>
  <si>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</si>
  <si>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</si>
  <si>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</si>
  <si>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</si>
  <si>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</si>
  <si>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</si>
  <si>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</si>
  <si>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</si>
  <si>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</si>
  <si>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</si>
  <si>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</si>
  <si>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</si>
  <si>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</si>
  <si>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</si>
  <si>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</si>
  <si>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</si>
  <si>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</si>
  <si>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</si>
  <si>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</si>
  <si>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</si>
  <si>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</si>
  <si>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</si>
  <si>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</si>
  <si>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</si>
  <si>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</si>
  <si>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</si>
  <si>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</si>
  <si>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</si>
  <si>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</si>
  <si>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</si>
  <si>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</si>
  <si>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</si>
  <si>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</si>
  <si>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</si>
  <si>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</si>
  <si>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</si>
  <si>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</si>
  <si>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</si>
  <si>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</si>
  <si>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</si>
  <si>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</si>
  <si>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</si>
  <si>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</si>
  <si>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</si>
  <si>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</si>
  <si>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</si>
  <si>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</si>
  <si>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</si>
  <si>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</si>
  <si>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</si>
  <si>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</si>
  <si>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</si>
  <si>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</si>
  <si>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</si>
  <si>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</si>
  <si>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</si>
  <si>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</si>
  <si>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</si>
  <si>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</si>
  <si>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</si>
  <si>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</si>
  <si>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</si>
  <si>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</si>
  <si>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</si>
  <si>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</si>
  <si>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</si>
  <si>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</si>
  <si>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</si>
  <si>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</si>
  <si>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</si>
  <si>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</si>
  <si>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</si>
  <si>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</si>
  <si>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</si>
  <si>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</si>
  <si>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</si>
  <si>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</si>
  <si>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</si>
  <si>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</si>
  <si>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</si>
  <si>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</si>
  <si>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</si>
  <si>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</si>
  <si>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</si>
  <si>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</si>
  <si>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</si>
  <si>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</si>
  <si>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</si>
  <si>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</si>
  <si>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</si>
  <si>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</si>
  <si>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</si>
  <si>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</si>
  <si>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</si>
  <si>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</si>
  <si>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</si>
  <si>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</si>
  <si>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</si>
  <si>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</si>
  <si>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</si>
  <si>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</si>
  <si>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</si>
  <si>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</si>
  <si>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</si>
  <si>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</si>
  <si>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</si>
  <si>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</si>
  <si>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</si>
  <si>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</si>
  <si>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</si>
  <si>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</si>
  <si>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</si>
  <si>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</si>
  <si>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</si>
  <si>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</si>
  <si>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</si>
  <si>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</si>
  <si>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</si>
  <si>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</si>
  <si>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</si>
  <si>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</si>
  <si>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</si>
  <si>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</si>
  <si>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</si>
  <si>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</si>
  <si>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</si>
  <si>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</si>
  <si>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</si>
  <si>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</si>
  <si>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</si>
  <si>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</si>
  <si>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</si>
  <si>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</si>
  <si>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</si>
  <si>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</si>
  <si>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</si>
  <si>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</si>
  <si>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</si>
  <si>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</si>
  <si>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</si>
  <si>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</si>
  <si>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</si>
  <si>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</si>
  <si>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</si>
  <si>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</si>
  <si>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</si>
  <si>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</si>
  <si>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</si>
  <si>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</si>
  <si>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</si>
  <si>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</si>
  <si>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</si>
  <si>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</si>
  <si>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</si>
  <si>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</si>
  <si>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</si>
  <si>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</si>
  <si>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</si>
  <si>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</si>
  <si>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</si>
  <si>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</si>
  <si>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</si>
  <si>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</si>
  <si>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</si>
  <si>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</si>
  <si>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</si>
  <si>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</si>
  <si>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</si>
  <si>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</si>
  <si>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</si>
  <si>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</si>
  <si>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</si>
  <si>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</si>
  <si>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</si>
  <si>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</si>
  <si>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</si>
  <si>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</si>
  <si>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</si>
  <si>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</si>
  <si>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</si>
  <si>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</si>
  <si>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</si>
  <si>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</si>
  <si>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</si>
  <si>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</si>
  <si>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</si>
  <si>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</si>
  <si>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</si>
  <si>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</si>
  <si>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</si>
  <si>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</si>
  <si>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</si>
  <si>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</si>
  <si>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</si>
  <si>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</si>
  <si>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</si>
  <si>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</si>
  <si>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</si>
  <si>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</si>
  <si>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</si>
  <si>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</si>
  <si>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</si>
  <si>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</si>
  <si>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</si>
  <si>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</si>
  <si>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</si>
  <si>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</si>
  <si>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</si>
  <si>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</si>
  <si>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</si>
  <si>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</si>
  <si>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</si>
  <si>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</si>
  <si>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</si>
  <si>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</si>
  <si>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</si>
  <si>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</si>
  <si>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</si>
  <si>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</si>
  <si>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</si>
  <si>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</si>
  <si>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</si>
  <si>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</si>
  <si>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</si>
  <si>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</si>
  <si>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</si>
  <si>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</si>
  <si>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</si>
  <si>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</si>
  <si>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</si>
  <si>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</si>
  <si>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</si>
  <si>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</si>
  <si>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</si>
  <si>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</si>
  <si>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</si>
  <si>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</si>
  <si>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</si>
  <si>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</si>
  <si>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</si>
  <si>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</si>
  <si>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</si>
  <si>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</si>
  <si>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</si>
  <si>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</si>
  <si>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</si>
  <si>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</si>
  <si>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</si>
  <si>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</si>
  <si>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</si>
  <si>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</si>
  <si>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</si>
  <si>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</si>
  <si>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</si>
  <si>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</si>
  <si>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</si>
  <si>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</si>
  <si>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</si>
  <si>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</si>
  <si>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</si>
  <si>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</si>
  <si>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</si>
  <si>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</si>
  <si>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</si>
  <si>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</si>
  <si>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</si>
  <si>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</si>
  <si>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</si>
  <si>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</si>
  <si>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</si>
  <si>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</si>
  <si>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</si>
  <si>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</si>
  <si>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</si>
  <si>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</si>
  <si>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</si>
  <si>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</si>
  <si>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</si>
  <si>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</si>
  <si>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</si>
  <si>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</si>
  <si>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</si>
  <si>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</si>
  <si>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</si>
  <si>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</si>
  <si>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</si>
  <si>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</si>
  <si>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</si>
  <si>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</si>
  <si>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</si>
  <si>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</si>
  <si>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</si>
  <si>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</si>
  <si>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</si>
  <si>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</si>
  <si>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</si>
  <si>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</si>
  <si>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</si>
  <si>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</si>
  <si>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</si>
  <si>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</si>
  <si>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</si>
  <si>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</si>
  <si>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</si>
  <si>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</si>
  <si>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</si>
  <si>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</si>
  <si>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</si>
  <si>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</si>
  <si>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</si>
  <si>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</si>
  <si>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</si>
  <si>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</si>
  <si>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</si>
  <si>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</si>
  <si>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</si>
  <si>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</si>
  <si>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</si>
  <si>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</si>
  <si>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</si>
  <si>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</si>
  <si>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</si>
  <si>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</si>
  <si>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</si>
  <si>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</si>
  <si>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</si>
  <si>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</si>
  <si>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</si>
  <si>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</si>
  <si>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</si>
  <si>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</si>
  <si>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</si>
  <si>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</si>
  <si>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</si>
  <si>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</si>
  <si>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</si>
  <si>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</si>
  <si>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</si>
  <si>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</si>
  <si>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</si>
  <si>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</si>
  <si>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</si>
  <si>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</si>
  <si>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</si>
  <si>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</si>
  <si>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</si>
  <si>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</si>
  <si>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</si>
  <si>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</si>
  <si>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</si>
  <si>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</si>
  <si>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</si>
  <si>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</si>
  <si>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</si>
  <si>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</si>
  <si>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</si>
  <si>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</si>
  <si>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</si>
  <si>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</si>
  <si>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</si>
  <si>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</si>
  <si>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</si>
  <si>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</si>
  <si>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</si>
  <si>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</si>
  <si>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</si>
  <si>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</si>
  <si>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</si>
  <si>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</si>
  <si>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</si>
  <si>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</si>
  <si>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</si>
  <si>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</si>
  <si>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</si>
  <si>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</si>
  <si>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</si>
  <si>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</si>
  <si>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</si>
  <si>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</si>
  <si>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</si>
  <si>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</si>
  <si>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</si>
  <si>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</si>
  <si>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</si>
  <si>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</si>
  <si>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</si>
  <si>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</si>
  <si>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</si>
  <si>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</si>
  <si>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</si>
  <si>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</si>
  <si>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</si>
  <si>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</si>
  <si>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</si>
  <si>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</si>
  <si>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</si>
  <si>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</si>
  <si>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</si>
  <si>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</si>
  <si>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</si>
  <si>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</si>
  <si>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</si>
  <si>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</si>
  <si>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</si>
  <si>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</si>
  <si>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</si>
  <si>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</si>
  <si>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</si>
  <si>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</si>
  <si>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</si>
  <si>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</si>
  <si>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</si>
  <si>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</si>
  <si>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</si>
  <si>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</si>
  <si>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</si>
  <si>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</si>
  <si>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</si>
  <si>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</si>
  <si>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</si>
  <si>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</si>
  <si>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</si>
  <si>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</si>
  <si>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</si>
  <si>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</si>
  <si>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</si>
  <si>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</si>
  <si>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</si>
  <si>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</si>
  <si>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</si>
  <si>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</si>
  <si>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</si>
  <si>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</si>
  <si>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</si>
  <si>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</si>
  <si>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</si>
  <si>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</si>
  <si>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</si>
  <si>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</si>
  <si>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</si>
  <si>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</si>
  <si>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</si>
  <si>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</si>
  <si>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</si>
  <si>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</si>
  <si>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</si>
  <si>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</si>
  <si>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</si>
  <si>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</si>
  <si>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</si>
  <si>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</si>
  <si>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</si>
  <si>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</si>
  <si>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</si>
  <si>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</si>
  <si>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</si>
  <si>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</si>
  <si>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</si>
  <si>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</si>
  <si>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</si>
  <si>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</si>
  <si>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</si>
  <si>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</si>
  <si>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</si>
  <si>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</si>
  <si>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</si>
  <si>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</si>
  <si>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</si>
  <si>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</si>
  <si>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</si>
  <si>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</si>
  <si>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</si>
  <si>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</si>
  <si>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</si>
  <si>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</si>
  <si>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</si>
  <si>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</si>
  <si>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</si>
  <si>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</si>
  <si>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</si>
  <si>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</si>
  <si>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</si>
  <si>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</si>
  <si>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</si>
  <si>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</si>
  <si>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</si>
  <si>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</si>
  <si>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</si>
  <si>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</si>
  <si>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</si>
  <si>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</si>
  <si>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</si>
  <si>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</si>
  <si>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</si>
  <si>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</si>
  <si>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</si>
  <si>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</si>
  <si>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</si>
  <si>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</si>
  <si>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</si>
  <si>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</si>
  <si>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</si>
  <si>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</si>
  <si>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</si>
  <si>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</si>
  <si>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</si>
  <si>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</si>
  <si>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</si>
  <si>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</si>
  <si>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</si>
  <si>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</si>
  <si>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</si>
  <si>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</si>
  <si>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</si>
  <si>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</si>
  <si>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</si>
  <si>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</si>
  <si>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</si>
  <si>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</si>
  <si>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</si>
  <si>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</si>
  <si>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</si>
  <si>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</si>
  <si>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</si>
  <si>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</si>
  <si>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</si>
  <si>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</si>
  <si>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</si>
  <si>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</si>
  <si>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</si>
  <si>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</si>
  <si>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</si>
  <si>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</si>
  <si>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</si>
  <si>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</si>
  <si>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</si>
  <si>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</si>
  <si>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</si>
  <si>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</si>
  <si>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</si>
  <si>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</si>
  <si>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</si>
  <si>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</si>
  <si>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</si>
  <si>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</si>
  <si>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</si>
  <si>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</si>
  <si>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</si>
  <si>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</si>
  <si>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</si>
  <si>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</si>
  <si>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</si>
  <si>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</si>
  <si>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</si>
  <si>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</si>
  <si>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</si>
  <si>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</si>
  <si>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</si>
  <si>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</si>
  <si>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</si>
  <si>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</si>
  <si>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</si>
  <si>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</si>
  <si>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</si>
  <si>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</si>
  <si>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</si>
  <si>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</si>
  <si>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</si>
  <si>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</si>
  <si>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</si>
  <si>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</si>
  <si>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</si>
  <si>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</si>
  <si>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</si>
  <si>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</si>
  <si>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</si>
  <si>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</si>
  <si>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</si>
  <si>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</si>
  <si>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</si>
  <si>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</si>
  <si>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</si>
  <si>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</si>
  <si>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</si>
  <si>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</si>
  <si>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</si>
  <si>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</si>
  <si>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</si>
  <si>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</si>
  <si>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</si>
  <si>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</si>
  <si>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</si>
  <si>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</si>
  <si>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</si>
  <si>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</si>
  <si>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</si>
  <si>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</si>
  <si>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</si>
  <si>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</si>
  <si>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</si>
  <si>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</si>
  <si>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</si>
  <si>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</si>
  <si>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</si>
  <si>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</si>
  <si>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</si>
  <si>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</si>
  <si>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</si>
  <si>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</si>
  <si>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</si>
  <si>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</si>
  <si>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</si>
  <si>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</si>
  <si>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</si>
  <si>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</si>
  <si>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</si>
  <si>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</si>
  <si>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</si>
  <si>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</si>
  <si>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</si>
  <si>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</si>
  <si>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</si>
  <si>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</si>
  <si>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</si>
  <si>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</si>
  <si>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</si>
  <si>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</si>
  <si>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</si>
  <si>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</si>
  <si>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</si>
  <si>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</si>
  <si>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</si>
  <si>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</si>
  <si>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</si>
  <si>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</si>
  <si>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</si>
  <si>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</si>
  <si>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</si>
  <si>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</si>
  <si>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</si>
  <si>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</si>
  <si>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</si>
  <si>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</si>
  <si>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</si>
  <si>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</si>
  <si>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</si>
  <si>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</si>
  <si>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</si>
  <si>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</si>
  <si>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</si>
  <si>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</si>
  <si>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</si>
  <si>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</si>
  <si>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</si>
  <si>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</si>
  <si>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</si>
  <si>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</si>
  <si>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</si>
  <si>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</si>
  <si>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</si>
  <si>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</si>
  <si>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</si>
  <si>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</si>
  <si>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</si>
  <si>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</si>
  <si>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</si>
  <si>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</si>
  <si>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</si>
  <si>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</si>
  <si>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</si>
  <si>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</si>
  <si>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</si>
  <si>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</si>
  <si>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</si>
  <si>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</si>
  <si>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</si>
  <si>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</si>
  <si>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</si>
  <si>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</si>
  <si>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</si>
  <si>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</si>
  <si>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</si>
  <si>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</si>
  <si>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</si>
  <si>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</si>
  <si>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</si>
  <si>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</si>
  <si>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</si>
  <si>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</si>
  <si>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</si>
  <si>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</si>
  <si>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</si>
  <si>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</si>
  <si>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</si>
  <si>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</si>
  <si>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</si>
  <si>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</si>
  <si>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</si>
  <si>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</si>
  <si>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</si>
  <si>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</si>
  <si>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</si>
  <si>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</si>
  <si>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</si>
  <si>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</si>
  <si>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</si>
  <si>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</si>
  <si>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</si>
  <si>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</si>
  <si>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</si>
  <si>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</si>
  <si>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</si>
  <si>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</si>
  <si>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</si>
  <si>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</si>
  <si>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</si>
  <si>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</si>
  <si>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</si>
  <si>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</si>
  <si>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</si>
  <si>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</si>
  <si>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</si>
  <si>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</si>
  <si>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</si>
  <si>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</si>
  <si>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</si>
  <si>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</si>
  <si>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</si>
  <si>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</si>
  <si>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</si>
  <si>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</si>
  <si>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</si>
  <si>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</si>
  <si>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</si>
  <si>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</si>
  <si>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</si>
  <si>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</si>
  <si>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</si>
  <si>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</si>
  <si>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</si>
  <si>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</si>
  <si>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</si>
  <si>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</si>
  <si>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</si>
  <si>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</si>
  <si>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</si>
  <si>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</si>
  <si>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</si>
  <si>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</si>
  <si>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</si>
  <si>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</si>
  <si>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</si>
  <si>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</si>
  <si>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</si>
  <si>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</si>
  <si>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</si>
  <si>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</si>
  <si>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</si>
  <si>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</si>
  <si>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</si>
  <si>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</si>
  <si>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</si>
  <si>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</si>
  <si>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</si>
  <si>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</si>
  <si>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</si>
  <si>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</si>
  <si>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</si>
  <si>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</si>
  <si>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</si>
  <si>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</si>
  <si>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</si>
  <si>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</si>
  <si>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</si>
  <si>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</si>
  <si>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</si>
  <si>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</si>
  <si>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</si>
  <si>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</si>
  <si>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</si>
  <si>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</si>
  <si>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</si>
  <si>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</si>
  <si>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</si>
  <si>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</si>
  <si>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</si>
  <si>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</si>
  <si>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</si>
  <si>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</si>
  <si>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</si>
  <si>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</si>
  <si>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</si>
  <si>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</si>
  <si>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</si>
  <si>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</si>
  <si>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</si>
  <si>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</si>
  <si>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</si>
  <si>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</si>
  <si>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</si>
  <si>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</si>
  <si>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</si>
  <si>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</si>
  <si>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</si>
  <si>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</si>
  <si>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</si>
  <si>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</si>
  <si>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</si>
  <si>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</si>
  <si>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</si>
  <si>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</si>
  <si>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</si>
  <si>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</si>
  <si>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</si>
  <si>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</si>
  <si>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</si>
  <si>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</si>
  <si>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</si>
  <si>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</si>
  <si>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</si>
  <si>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</si>
  <si>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</si>
  <si>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</si>
  <si>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</si>
  <si>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</si>
  <si>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</si>
  <si>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</si>
  <si>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</si>
  <si>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</si>
  <si>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</si>
  <si>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</si>
  <si>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</si>
  <si>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</si>
  <si>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</si>
  <si>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</si>
  <si>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</si>
  <si>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</si>
  <si>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</si>
  <si>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</si>
  <si>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</si>
  <si>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</si>
  <si>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</si>
  <si>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</si>
  <si>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</si>
  <si>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</si>
  <si>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</si>
  <si>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</si>
  <si>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</si>
  <si>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</si>
  <si>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</si>
  <si>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</si>
  <si>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</si>
  <si>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</si>
  <si>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</si>
  <si>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</si>
  <si>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</si>
  <si>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</si>
  <si>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</si>
  <si>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</si>
  <si>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</si>
  <si>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</si>
  <si>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</si>
  <si>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</si>
  <si>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</si>
  <si>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</si>
  <si>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</si>
  <si>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</si>
  <si>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</si>
  <si>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</si>
  <si>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</si>
  <si>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</si>
  <si>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</si>
  <si>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</si>
  <si>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</si>
  <si>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</si>
  <si>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</si>
  <si>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</si>
  <si>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</si>
  <si>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</si>
  <si>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</si>
  <si>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</si>
  <si>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</si>
  <si>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</si>
  <si>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</si>
  <si>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</si>
  <si>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</si>
  <si>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</si>
  <si>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</si>
  <si>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</si>
  <si>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</si>
  <si>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</si>
  <si>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</si>
  <si>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</si>
  <si>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</si>
  <si>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</si>
  <si>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</si>
  <si>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</si>
  <si>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</si>
  <si>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</si>
  <si>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</si>
  <si>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</si>
  <si>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</si>
  <si>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</si>
  <si>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</si>
  <si>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</si>
  <si>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</si>
  <si>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</si>
  <si>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</si>
  <si>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</si>
  <si>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</si>
  <si>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</si>
  <si>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</si>
  <si>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</si>
  <si>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</si>
  <si>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</si>
  <si>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</si>
  <si>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</si>
  <si>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</si>
  <si>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</si>
  <si>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</si>
  <si>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</si>
  <si>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</si>
  <si>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</si>
  <si>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</si>
  <si>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</si>
  <si>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</si>
  <si>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</si>
  <si>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</si>
  <si>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</si>
  <si>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</si>
  <si>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</si>
  <si>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</si>
  <si>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</si>
  <si>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</si>
  <si>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</si>
  <si>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</si>
  <si>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</si>
  <si>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</si>
  <si>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</si>
  <si>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</si>
  <si>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</si>
  <si>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</si>
  <si>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</si>
  <si>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</si>
  <si>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</si>
  <si>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</si>
  <si>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</si>
  <si>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</si>
  <si>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</si>
  <si>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</si>
  <si>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</si>
  <si>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</si>
  <si>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</si>
  <si>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</si>
  <si>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</si>
  <si>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</si>
  <si>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</si>
  <si>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</si>
  <si>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</si>
  <si>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</si>
  <si>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</si>
  <si>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</si>
  <si>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</si>
  <si>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</si>
  <si>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</si>
  <si>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</si>
  <si>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</si>
  <si>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</si>
  <si>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</si>
  <si>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</si>
  <si>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</si>
  <si>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</si>
  <si>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</si>
  <si>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</si>
  <si>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</si>
  <si>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</si>
  <si>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</si>
  <si>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</si>
  <si>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</si>
  <si>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</si>
  <si>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</si>
  <si>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</si>
  <si>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</si>
  <si>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</si>
  <si>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</si>
  <si>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</si>
  <si>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</si>
  <si>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</si>
  <si>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</si>
  <si>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</si>
  <si>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</si>
  <si>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</si>
  <si>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</si>
  <si>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</si>
  <si>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</si>
  <si>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</si>
  <si>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</si>
  <si>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</si>
  <si>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</si>
  <si>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</si>
  <si>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</si>
  <si>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</si>
  <si>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</si>
  <si>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</si>
  <si>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</si>
  <si>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</si>
  <si>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</si>
  <si>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</si>
  <si>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</si>
  <si>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</si>
  <si>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</si>
  <si>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</si>
  <si>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</si>
  <si>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</si>
  <si>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</si>
  <si>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</si>
  <si>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</si>
  <si>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</si>
  <si>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</si>
  <si>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</si>
  <si>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</si>
  <si>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</si>
  <si>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</si>
  <si>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</si>
  <si>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</si>
  <si>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</si>
  <si>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</si>
  <si>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</si>
  <si>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</si>
  <si>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</si>
  <si>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</si>
  <si>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</si>
  <si>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</si>
  <si>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</si>
  <si>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</si>
  <si>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</si>
  <si>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</si>
  <si>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</si>
  <si>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</si>
  <si>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</si>
  <si>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</si>
  <si>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</si>
  <si>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</si>
  <si>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</si>
  <si>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</si>
  <si>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</si>
  <si>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</si>
  <si>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</si>
  <si>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</si>
  <si>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</si>
  <si>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</si>
  <si>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</si>
  <si>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</si>
  <si>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</si>
  <si>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</si>
  <si>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</si>
  <si>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</si>
  <si>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</si>
  <si>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</si>
  <si>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</si>
  <si>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</si>
  <si>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</si>
  <si>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</si>
  <si>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</si>
  <si>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</si>
  <si>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</si>
  <si>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</si>
  <si>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</si>
  <si>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</si>
  <si>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</si>
  <si>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</si>
  <si>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</si>
  <si>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</si>
  <si>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</si>
  <si>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</si>
  <si>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</si>
  <si>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</si>
  <si>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</si>
  <si>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</si>
  <si>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</si>
  <si>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</si>
  <si>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</si>
  <si>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</si>
  <si>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</si>
  <si>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</si>
  <si>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</si>
  <si>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</si>
  <si>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</si>
  <si>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</si>
  <si>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</si>
  <si>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</si>
  <si>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</si>
  <si>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</si>
  <si>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</si>
  <si>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</si>
  <si>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</si>
  <si>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</si>
  <si>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</si>
  <si>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</si>
  <si>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</si>
  <si>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</si>
  <si>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</si>
  <si>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</si>
  <si>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</si>
  <si>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</si>
  <si>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</si>
  <si>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</si>
  <si>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</si>
  <si>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</si>
  <si>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</si>
  <si>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</si>
  <si>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</si>
  <si>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</si>
  <si>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</si>
  <si>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</si>
  <si>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</si>
  <si>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</si>
  <si>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</si>
  <si>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</si>
  <si>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</si>
  <si>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</si>
  <si>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</si>
  <si>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</si>
  <si>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</si>
  <si>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</si>
  <si>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</si>
  <si>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</si>
  <si>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</si>
  <si>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</si>
  <si>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</si>
  <si>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</si>
  <si>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</si>
  <si>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</si>
  <si>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</si>
  <si>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</si>
  <si>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</si>
  <si>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</si>
  <si>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</si>
  <si>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</si>
  <si>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</si>
  <si>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</si>
  <si>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</si>
  <si>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</si>
  <si>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</si>
  <si>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</si>
  <si>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</si>
  <si>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</si>
  <si>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</si>
  <si>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</si>
  <si>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</si>
  <si>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</si>
  <si>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</si>
  <si>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</si>
  <si>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</si>
  <si>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</si>
  <si>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</si>
  <si>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</si>
  <si>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</si>
  <si>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</si>
  <si>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</si>
  <si>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</si>
  <si>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</si>
  <si>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</si>
  <si>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</si>
  <si>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</si>
  <si>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</si>
  <si>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</si>
  <si>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</si>
  <si>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</si>
  <si>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</si>
  <si>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</si>
  <si>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</si>
  <si>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</si>
  <si>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</si>
  <si>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</si>
  <si>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</si>
  <si>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</si>
  <si>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</si>
  <si>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</si>
  <si>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</si>
  <si>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</si>
  <si>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</si>
  <si>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</si>
  <si>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</si>
  <si>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</si>
  <si>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</si>
  <si>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</si>
  <si>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</si>
  <si>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</si>
  <si>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</si>
  <si>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</si>
  <si>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</si>
  <si>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</si>
  <si>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</si>
  <si>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</si>
  <si>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</si>
  <si>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</si>
  <si>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</si>
  <si>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</si>
  <si>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</si>
  <si>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</si>
  <si>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</si>
  <si>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</si>
  <si>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</si>
  <si>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</si>
  <si>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</si>
  <si>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</si>
  <si>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</si>
  <si>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</si>
  <si>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</si>
  <si>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</si>
  <si>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</si>
  <si>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</si>
  <si>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</si>
  <si>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</si>
  <si>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</si>
  <si>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</si>
  <si>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</si>
  <si>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</si>
  <si>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</si>
  <si>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</si>
  <si>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</si>
  <si>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</si>
  <si>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</si>
  <si>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</si>
  <si>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</si>
  <si>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</si>
  <si>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</si>
  <si>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</si>
  <si>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</si>
  <si>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</si>
  <si>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</si>
  <si>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</si>
  <si>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</si>
  <si>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</si>
  <si>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</si>
  <si>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</si>
  <si>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</si>
  <si>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</si>
  <si>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</si>
  <si>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</si>
  <si>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</si>
  <si>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</si>
  <si>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</si>
  <si>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</si>
  <si>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</si>
  <si>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</si>
  <si>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</si>
  <si>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</si>
  <si>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</si>
  <si>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</si>
  <si>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</si>
  <si>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</si>
  <si>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</si>
  <si>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</si>
  <si>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</si>
  <si>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</si>
  <si>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</si>
  <si>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</si>
  <si>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</si>
  <si>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</si>
  <si>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</si>
  <si>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</si>
  <si>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</si>
  <si>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</si>
  <si>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</si>
  <si>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</si>
  <si>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</si>
  <si>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</si>
  <si>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</si>
  <si>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</si>
  <si>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</si>
  <si>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</si>
  <si>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</si>
  <si>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</si>
  <si>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</si>
  <si>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</si>
  <si>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</si>
  <si>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</si>
  <si>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</si>
  <si>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</si>
  <si>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</si>
  <si>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</si>
  <si>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</si>
  <si>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</si>
  <si>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</si>
  <si>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</si>
  <si>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</si>
  <si>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</si>
  <si>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</si>
  <si>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</si>
  <si>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</si>
  <si>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</si>
  <si>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</si>
  <si>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</si>
  <si>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</si>
  <si>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</si>
  <si>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</si>
  <si>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</si>
  <si>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</si>
  <si>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</si>
  <si>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</si>
  <si>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</si>
  <si>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</si>
  <si>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</si>
  <si>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</si>
  <si>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</si>
  <si>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</si>
  <si>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</si>
  <si>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</si>
  <si>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</si>
  <si>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</si>
  <si>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</si>
  <si>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</si>
  <si>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</si>
  <si>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</si>
  <si>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</si>
  <si>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</si>
  <si>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</si>
  <si>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</si>
  <si>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</si>
  <si>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</si>
  <si>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</si>
  <si>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</si>
  <si>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</si>
  <si>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</si>
  <si>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</si>
  <si>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</si>
  <si>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</si>
  <si>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</si>
  <si>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</si>
  <si>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</si>
  <si>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</si>
  <si>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</si>
  <si>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</si>
  <si>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</si>
  <si>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</si>
  <si>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</si>
  <si>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</si>
  <si>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</si>
  <si>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</si>
  <si>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</si>
  <si>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</si>
  <si>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</si>
  <si>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</si>
  <si>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</si>
  <si>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</si>
  <si>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</si>
  <si>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</si>
  <si>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</si>
  <si>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</si>
  <si>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</si>
  <si>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</si>
  <si>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</si>
  <si>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</si>
  <si>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</si>
  <si>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</si>
  <si>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</si>
  <si>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</si>
  <si>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</si>
  <si>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</si>
  <si>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</si>
  <si>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</si>
  <si>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</si>
  <si>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</si>
  <si>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</si>
  <si>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</si>
  <si>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</si>
  <si>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</si>
  <si>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</si>
  <si>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</si>
  <si>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</si>
  <si>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</si>
  <si>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</si>
  <si>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</si>
  <si>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</si>
  <si>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</si>
  <si>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</si>
  <si>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</si>
  <si>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</si>
  <si>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</si>
  <si>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</si>
  <si>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</si>
  <si>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</si>
  <si>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</si>
  <si>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</si>
  <si>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</si>
  <si>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</si>
  <si>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</si>
  <si>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</si>
  <si>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</si>
  <si>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</si>
  <si>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</si>
  <si>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</si>
  <si>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</si>
  <si>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</si>
  <si>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</si>
  <si>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</si>
  <si>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</si>
  <si>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</si>
  <si>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</si>
  <si>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</si>
  <si>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</si>
  <si>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</si>
  <si>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</si>
  <si>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</si>
  <si>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</si>
  <si>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</si>
  <si>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</si>
  <si>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</si>
  <si>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</si>
  <si>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</si>
  <si>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</si>
  <si>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</si>
  <si>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</si>
  <si>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</si>
  <si>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</si>
  <si>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</si>
  <si>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</si>
  <si>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</si>
  <si>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</si>
  <si>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</si>
  <si>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</si>
  <si>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</si>
  <si>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</si>
  <si>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</si>
  <si>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</si>
  <si>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</si>
  <si>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</si>
  <si>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</si>
  <si>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</si>
  <si>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</si>
  <si>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</si>
  <si>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</si>
  <si>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</si>
  <si>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</si>
  <si>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</si>
  <si>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</si>
  <si>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</si>
  <si>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</si>
  <si>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</si>
  <si>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</si>
  <si>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</si>
  <si>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</si>
  <si>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</si>
  <si>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</si>
  <si>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</si>
  <si>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</si>
  <si>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</si>
  <si>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</si>
  <si>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</si>
  <si>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</si>
  <si>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</si>
  <si>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</si>
  <si>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</si>
  <si>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</si>
  <si>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</si>
  <si>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</si>
  <si>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</si>
  <si>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</si>
  <si>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</si>
  <si>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</si>
  <si>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</si>
  <si>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</si>
  <si>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</si>
  <si>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</si>
  <si>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</si>
  <si>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</si>
  <si>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</si>
  <si>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</si>
  <si>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</si>
  <si>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</si>
  <si>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</si>
  <si>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</si>
  <si>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</si>
  <si>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</si>
  <si>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</si>
  <si>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</si>
  <si>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</si>
  <si>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</si>
  <si>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</si>
  <si>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</si>
  <si>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</si>
  <si>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</si>
  <si>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</si>
  <si>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</si>
  <si>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</si>
  <si>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</si>
  <si>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</si>
  <si>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</si>
  <si>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</si>
  <si>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</si>
  <si>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</si>
  <si>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</si>
  <si>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</si>
  <si>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</si>
  <si>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</si>
  <si>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</si>
  <si>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</si>
  <si>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</si>
  <si>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</si>
  <si>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</si>
  <si>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</si>
  <si>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</si>
  <si>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</si>
  <si>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</si>
  <si>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</si>
  <si>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</si>
  <si>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</si>
  <si>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</si>
  <si>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</si>
  <si>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</si>
  <si>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</si>
  <si>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</si>
  <si>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</si>
  <si>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</si>
  <si>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</si>
  <si>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</si>
  <si>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</si>
  <si>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</si>
  <si>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</si>
  <si>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</si>
  <si>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</si>
  <si>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</si>
  <si>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</si>
  <si>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</si>
  <si>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</si>
  <si>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</si>
  <si>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</si>
  <si>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</si>
  <si>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</si>
  <si>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</si>
  <si>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</si>
  <si>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</si>
  <si>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</si>
  <si>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</si>
  <si>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</si>
  <si>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</si>
  <si>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</si>
  <si>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</si>
  <si>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</si>
  <si>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</si>
  <si>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</si>
  <si>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</si>
  <si>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</si>
  <si>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</si>
  <si>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</si>
  <si>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</si>
  <si>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</si>
  <si>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</si>
  <si>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</si>
  <si>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</si>
  <si>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</si>
  <si>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</si>
  <si>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</si>
  <si>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</si>
  <si>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</si>
  <si>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</si>
  <si>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</si>
  <si>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</si>
  <si>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</si>
  <si>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</si>
  <si>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</si>
  <si>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</si>
  <si>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</si>
  <si>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</si>
  <si>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</si>
  <si>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</si>
  <si>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</si>
  <si>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</si>
  <si>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</si>
  <si>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</si>
  <si>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</si>
  <si>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</si>
  <si>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</si>
  <si>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</si>
  <si>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</si>
  <si>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</si>
  <si>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</si>
  <si>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</si>
  <si>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</si>
  <si>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</si>
  <si>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</si>
  <si>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</si>
  <si>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</si>
  <si>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</si>
  <si>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</si>
  <si>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</si>
  <si>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</si>
  <si>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</si>
  <si>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</si>
  <si>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</si>
  <si>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</si>
  <si>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</si>
  <si>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</si>
  <si>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</si>
  <si>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</si>
  <si>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</si>
  <si>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</si>
  <si>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</si>
  <si>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</si>
  <si>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</si>
  <si>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</si>
  <si>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</si>
  <si>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</si>
  <si>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</si>
  <si>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</si>
  <si>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</si>
  <si>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</si>
  <si>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</si>
  <si>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</si>
  <si>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</si>
  <si>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</si>
  <si>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</si>
  <si>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</si>
  <si>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</si>
  <si>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</si>
  <si>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</si>
  <si>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</si>
  <si>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</si>
  <si>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</si>
  <si>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</si>
  <si>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</si>
  <si>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</si>
  <si>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</si>
  <si>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</si>
  <si>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</si>
  <si>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</si>
  <si>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</si>
  <si>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</si>
  <si>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</si>
  <si>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</si>
  <si>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</si>
  <si>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</si>
  <si>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</si>
  <si>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</si>
  <si>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</si>
  <si>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</si>
  <si>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</si>
  <si>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</si>
  <si>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</si>
  <si>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</si>
  <si>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</si>
  <si>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</si>
  <si>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</si>
  <si>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</si>
  <si>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</si>
  <si>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</si>
  <si>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</si>
  <si>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</si>
  <si>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</si>
  <si>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</si>
  <si>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</si>
  <si>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</si>
  <si>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</si>
  <si>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</si>
  <si>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</si>
  <si>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</si>
  <si>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</si>
  <si>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</si>
  <si>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</si>
  <si>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</si>
  <si>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</si>
  <si>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</si>
  <si>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</si>
  <si>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</si>
  <si>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</si>
  <si>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</si>
  <si>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</si>
  <si>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</si>
  <si>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</si>
  <si>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</si>
  <si>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</si>
  <si>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</si>
  <si>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</si>
  <si>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</si>
  <si>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</si>
  <si>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</si>
  <si>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</si>
  <si>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</si>
  <si>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</si>
  <si>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</si>
  <si>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</si>
  <si>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</si>
  <si>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</si>
  <si>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</si>
  <si>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</si>
  <si>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</si>
  <si>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</si>
  <si>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</si>
  <si>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</si>
  <si>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</si>
  <si>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</si>
  <si>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</si>
  <si>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</si>
  <si>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</si>
  <si>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</si>
  <si>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</si>
  <si>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</si>
  <si>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</si>
  <si>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</si>
  <si>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</si>
  <si>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</si>
  <si>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</si>
  <si>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</si>
  <si>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</si>
  <si>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</si>
  <si>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</si>
  <si>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</si>
  <si>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</si>
  <si>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</si>
  <si>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</si>
  <si>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</si>
  <si>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</si>
  <si>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</si>
  <si>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</si>
  <si>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</si>
  <si>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</si>
  <si>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</si>
  <si>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</si>
  <si>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</si>
  <si>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</si>
  <si>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</si>
  <si>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</si>
  <si>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</si>
  <si>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</si>
  <si>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</si>
  <si>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</si>
  <si>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</si>
  <si>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</si>
  <si>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</si>
  <si>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</si>
  <si>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</si>
  <si>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</si>
  <si>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</si>
  <si>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</si>
  <si>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</si>
  <si>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</si>
  <si>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</si>
  <si>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</si>
  <si>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</si>
  <si>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</si>
  <si>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</si>
  <si>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</si>
  <si>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</si>
  <si>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</si>
  <si>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</si>
  <si>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</si>
  <si>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</si>
  <si>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</si>
  <si>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</si>
  <si>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</si>
  <si>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</si>
  <si>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</si>
  <si>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</si>
  <si>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</si>
  <si>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</si>
  <si>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</si>
  <si>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</si>
  <si>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</si>
  <si>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</si>
  <si>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</si>
  <si>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</si>
  <si>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</si>
  <si>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</si>
  <si>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</si>
  <si>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</si>
  <si>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</si>
  <si>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</si>
  <si>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</si>
  <si>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</si>
  <si>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</si>
  <si>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</si>
  <si>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</si>
  <si>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</si>
  <si>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</si>
  <si>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</si>
  <si>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</si>
  <si>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</si>
  <si>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</si>
  <si>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</si>
  <si>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</si>
  <si>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</si>
  <si>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</si>
  <si>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</si>
  <si>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</si>
  <si>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</si>
  <si>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</si>
  <si>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</si>
  <si>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</si>
  <si>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</si>
  <si>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</si>
  <si>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</si>
  <si>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</si>
  <si>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</si>
  <si>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</si>
  <si>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</si>
  <si>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</si>
  <si>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</si>
  <si>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</si>
  <si>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</si>
  <si>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</si>
  <si>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</si>
  <si>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</si>
  <si>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</si>
  <si>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</si>
  <si>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</si>
  <si>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</si>
  <si>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</si>
  <si>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</si>
  <si>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</si>
  <si>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</si>
  <si>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</si>
  <si>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</si>
  <si>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</si>
  <si>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</si>
  <si>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</si>
  <si>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</si>
  <si>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</si>
  <si>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</si>
  <si>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</si>
  <si>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</si>
  <si>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</si>
  <si>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</si>
  <si>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</si>
  <si>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</si>
  <si>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</si>
  <si>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</si>
  <si>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</si>
  <si>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</si>
  <si>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</si>
  <si>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</si>
  <si>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</si>
  <si>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</si>
  <si>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</si>
  <si>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</si>
  <si>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</si>
  <si>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</si>
  <si>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</si>
  <si>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</si>
  <si>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</si>
  <si>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</si>
  <si>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</si>
  <si>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</si>
  <si>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</si>
  <si>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</si>
  <si>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</si>
  <si>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</si>
  <si>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</si>
  <si>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</si>
  <si>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</si>
  <si>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</si>
  <si>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</si>
  <si>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</si>
  <si>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</si>
  <si>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</si>
  <si>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</si>
  <si>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</si>
  <si>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</si>
  <si>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</si>
  <si>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</si>
  <si>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</si>
  <si>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</si>
  <si>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</si>
  <si>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</si>
  <si>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</si>
  <si>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</si>
  <si>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</si>
  <si>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</si>
  <si>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</si>
  <si>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</si>
  <si>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</si>
  <si>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</si>
  <si>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</si>
  <si>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</si>
  <si>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</si>
  <si>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</si>
  <si>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</si>
  <si>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</si>
  <si>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</si>
  <si>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</si>
  <si>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</si>
  <si>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</si>
  <si>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</si>
  <si>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</si>
  <si>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</si>
  <si>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</si>
  <si>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</si>
  <si>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</si>
  <si>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</si>
  <si>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</si>
  <si>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</si>
  <si>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</si>
  <si>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</si>
  <si>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</si>
  <si>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</si>
  <si>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</si>
  <si>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</si>
  <si>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</si>
  <si>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</si>
  <si>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</si>
  <si>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</si>
  <si>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</si>
  <si>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</si>
  <si>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</si>
  <si>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</si>
  <si>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</si>
  <si>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</si>
  <si>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</si>
  <si>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</si>
  <si>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</si>
  <si>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</si>
  <si>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</si>
  <si>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</si>
  <si>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</si>
  <si>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</si>
  <si>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</si>
  <si>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</si>
  <si>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</si>
  <si>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</si>
  <si>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</si>
  <si>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</si>
  <si>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</si>
  <si>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</si>
  <si>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</si>
  <si>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</si>
  <si>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</si>
  <si>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</si>
  <si>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</si>
  <si>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</si>
  <si>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</si>
  <si>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</si>
  <si>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</si>
  <si>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</si>
  <si>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</si>
  <si>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</si>
  <si>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</si>
  <si>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</si>
  <si>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</si>
  <si>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</si>
  <si>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</si>
  <si>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</si>
  <si>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</si>
  <si>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</si>
  <si>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</si>
  <si>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</si>
  <si>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</si>
  <si>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</si>
  <si>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</si>
  <si>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</si>
  <si>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</si>
  <si>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</si>
  <si>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</si>
  <si>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</si>
  <si>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</si>
  <si>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</si>
  <si>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</si>
  <si>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</si>
  <si>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</si>
  <si>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</si>
  <si>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</si>
  <si>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</si>
  <si>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</si>
  <si>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</si>
  <si>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</si>
  <si>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</si>
  <si>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</si>
  <si>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</si>
  <si>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</si>
  <si>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</si>
  <si>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</si>
  <si>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</si>
  <si>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</si>
  <si>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</si>
  <si>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</si>
  <si>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</si>
  <si>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</si>
  <si>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</si>
  <si>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</si>
  <si>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</si>
  <si>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</si>
  <si>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</si>
  <si>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</si>
  <si>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</si>
  <si>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</si>
  <si>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</si>
  <si>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</si>
  <si>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</si>
  <si>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</si>
  <si>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</si>
  <si>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</si>
  <si>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</si>
  <si>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</si>
  <si>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</si>
  <si>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</si>
  <si>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</si>
  <si>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</si>
  <si>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</si>
  <si>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</si>
  <si>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</si>
  <si>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</si>
  <si>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</si>
  <si>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</si>
  <si>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</si>
  <si>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</si>
  <si>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</si>
  <si>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</si>
  <si>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</si>
  <si>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</si>
  <si>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</si>
  <si>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</si>
  <si>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</si>
  <si>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</si>
  <si>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</si>
  <si>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</si>
  <si>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</si>
  <si>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</si>
  <si>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</si>
  <si>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</si>
  <si>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</si>
  <si>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</si>
  <si>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</si>
  <si>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</si>
  <si>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</si>
  <si>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</si>
  <si>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</si>
  <si>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</si>
  <si>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</si>
  <si>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</si>
  <si>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</si>
  <si>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</si>
  <si>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</si>
  <si>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</si>
  <si>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</si>
  <si>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</si>
  <si>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</si>
  <si>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</si>
  <si>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</si>
  <si>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</si>
  <si>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</si>
  <si>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</si>
  <si>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</si>
  <si>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</si>
  <si>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</si>
  <si>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</si>
  <si>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</si>
  <si>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</si>
  <si>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</si>
  <si>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</si>
  <si>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</si>
  <si>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</si>
  <si>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</si>
  <si>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</si>
  <si>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</si>
  <si>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</si>
  <si>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</si>
  <si>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</si>
  <si>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</si>
  <si>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</si>
  <si>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</si>
  <si>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</si>
  <si>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</si>
  <si>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</si>
  <si>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</si>
  <si>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</si>
  <si>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</si>
  <si>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</si>
  <si>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</si>
  <si>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</si>
  <si>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</si>
  <si>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</si>
  <si>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</si>
  <si>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</si>
  <si>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</si>
  <si>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</si>
  <si>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</si>
  <si>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</si>
  <si>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</si>
  <si>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</si>
  <si>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</si>
  <si>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</si>
  <si>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</si>
  <si>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</si>
  <si>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</si>
  <si>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</si>
  <si>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</si>
  <si>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</si>
  <si>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</si>
  <si>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</si>
  <si>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</si>
  <si>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</si>
  <si>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</si>
  <si>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</si>
  <si>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</si>
  <si>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</si>
  <si>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</si>
  <si>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</si>
  <si>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</si>
  <si>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</si>
  <si>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</si>
  <si>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</si>
  <si>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</si>
  <si>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</si>
  <si>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</si>
  <si>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</si>
  <si>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</si>
  <si>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</si>
  <si>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</si>
  <si>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</si>
  <si>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</si>
  <si>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</si>
  <si>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</si>
  <si>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</si>
  <si>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</si>
  <si>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</si>
  <si>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</si>
  <si>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</si>
  <si>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</si>
  <si>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</si>
  <si>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</si>
  <si>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</si>
  <si>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</si>
  <si>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</si>
  <si>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</si>
  <si>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</si>
  <si>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</si>
  <si>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</si>
  <si>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</si>
  <si>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</si>
  <si>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</si>
  <si>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</si>
  <si>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</si>
  <si>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</si>
  <si>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</si>
  <si>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</si>
  <si>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</si>
  <si>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</si>
  <si>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</si>
  <si>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</si>
  <si>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</si>
  <si>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</si>
  <si>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</si>
  <si>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</si>
  <si>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</si>
  <si>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</si>
  <si>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</si>
  <si>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</si>
  <si>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</si>
  <si>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</si>
  <si>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</si>
  <si>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</si>
  <si>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</si>
  <si>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</si>
  <si>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</si>
  <si>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</si>
  <si>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</si>
  <si>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</si>
  <si>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</si>
  <si>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</si>
  <si>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</si>
  <si>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</si>
  <si>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</si>
  <si>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</si>
  <si>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</si>
  <si>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</si>
  <si>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</si>
  <si>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</si>
  <si>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</si>
  <si>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</si>
  <si>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</si>
  <si>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</si>
  <si>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</si>
  <si>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</si>
  <si>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</si>
  <si>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</si>
  <si>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</si>
  <si>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</si>
  <si>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</si>
  <si>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</si>
  <si>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</si>
  <si>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</si>
  <si>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</si>
  <si>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</si>
  <si>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</si>
  <si>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</si>
  <si>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</si>
  <si>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</si>
  <si>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</si>
  <si>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</si>
  <si>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</si>
  <si>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</si>
  <si>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</si>
  <si>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</si>
  <si>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</si>
  <si>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</si>
  <si>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</si>
  <si>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</si>
  <si>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</si>
  <si>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</si>
  <si>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</si>
  <si>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</si>
  <si>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</si>
  <si>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</si>
  <si>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</si>
  <si>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</si>
  <si>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</si>
  <si>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</si>
  <si>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</si>
  <si>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</si>
  <si>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</si>
  <si>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</si>
  <si>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</si>
  <si>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</si>
  <si>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</si>
  <si>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</si>
  <si>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</si>
  <si>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</si>
  <si>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</si>
  <si>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</si>
  <si>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</si>
  <si>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</si>
  <si>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</si>
  <si>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</si>
  <si>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</si>
  <si>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</si>
  <si>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</si>
  <si>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</si>
  <si>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</si>
  <si>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</si>
  <si>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</si>
  <si>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</si>
  <si>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</si>
  <si>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</si>
  <si>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</si>
  <si>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</si>
  <si>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</si>
  <si>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</si>
  <si>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</si>
  <si>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</si>
  <si>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</si>
  <si>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</si>
  <si>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</si>
  <si>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</si>
  <si>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</si>
  <si>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</si>
  <si>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</si>
  <si>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</si>
  <si>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</si>
  <si>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</si>
  <si>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</si>
  <si>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</si>
  <si>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</si>
  <si>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</si>
  <si>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</si>
  <si>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</si>
  <si>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</si>
  <si>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</si>
  <si>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</si>
  <si>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</si>
  <si>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</si>
  <si>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</si>
  <si>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</si>
  <si>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</si>
  <si>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</si>
  <si>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</si>
  <si>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</si>
  <si>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</si>
  <si>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</si>
  <si>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</si>
  <si>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</si>
  <si>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</si>
  <si>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</si>
  <si>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</si>
  <si>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</si>
  <si>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</si>
  <si>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</si>
  <si>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</si>
  <si>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</si>
  <si>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</si>
  <si>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</si>
  <si>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</si>
  <si>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</si>
  <si>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</si>
  <si>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</si>
  <si>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</si>
  <si>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</si>
  <si>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</si>
  <si>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</si>
  <si>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</si>
  <si>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</si>
  <si>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</si>
  <si>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</si>
  <si>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</si>
  <si>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</si>
  <si>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</si>
  <si>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</si>
  <si>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</si>
  <si>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</si>
  <si>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</si>
  <si>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</si>
  <si>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</si>
  <si>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</si>
  <si>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</si>
  <si>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</si>
  <si>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</si>
  <si>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</si>
  <si>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</si>
  <si>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</si>
  <si>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</si>
  <si>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</si>
  <si>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</si>
  <si>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</si>
  <si>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</si>
  <si>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</si>
  <si>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</si>
  <si>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</si>
  <si>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</si>
  <si>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</si>
  <si>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</si>
  <si>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</si>
  <si>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</si>
  <si>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</si>
  <si>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</si>
  <si>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</si>
  <si>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</si>
  <si>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</si>
  <si>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</si>
  <si>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</si>
  <si>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</si>
  <si>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</si>
  <si>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</si>
  <si>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</si>
  <si>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</si>
  <si>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</si>
  <si>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</si>
  <si>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</si>
  <si>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</si>
  <si>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</si>
  <si>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</si>
  <si>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</si>
  <si>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</si>
  <si>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</si>
  <si>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</si>
  <si>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</si>
  <si>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</si>
  <si>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</si>
  <si>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</si>
  <si>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</si>
  <si>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</si>
  <si>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</si>
  <si>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</si>
  <si>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</si>
  <si>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</si>
  <si>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</si>
  <si>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</si>
  <si>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</si>
  <si>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</si>
  <si>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</si>
  <si>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</si>
  <si>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</si>
  <si>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</si>
  <si>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</si>
  <si>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</si>
  <si>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</si>
  <si>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</si>
  <si>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</si>
  <si>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</si>
  <si>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</si>
  <si>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</si>
  <si>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</si>
  <si>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</si>
  <si>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</si>
  <si>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</si>
  <si>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</si>
  <si>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</si>
  <si>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</si>
  <si>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</si>
  <si>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</si>
  <si>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</si>
  <si>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</si>
  <si>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</si>
  <si>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</si>
  <si>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</si>
  <si>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</si>
  <si>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</si>
  <si>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</si>
  <si>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</si>
  <si>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</si>
  <si>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</si>
  <si>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</si>
  <si>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</si>
  <si>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</si>
  <si>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</si>
  <si>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</si>
  <si>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</si>
  <si>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</si>
  <si>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</si>
  <si>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</si>
  <si>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</si>
  <si>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</si>
  <si>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</si>
  <si>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</si>
  <si>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</si>
  <si>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</si>
  <si>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</si>
  <si>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</si>
  <si>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</si>
  <si>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</si>
  <si>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</si>
  <si>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</si>
  <si>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</si>
  <si>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</si>
  <si>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</si>
  <si>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</si>
  <si>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</si>
  <si>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</si>
  <si>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</si>
  <si>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</si>
  <si>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</si>
  <si>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</si>
  <si>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</si>
  <si>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</si>
  <si>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</si>
  <si>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</si>
  <si>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</si>
  <si>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</si>
  <si>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</si>
  <si>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</si>
  <si>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</si>
  <si>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</si>
  <si>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</si>
  <si>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</si>
  <si>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</si>
  <si>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</si>
  <si>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</si>
  <si>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</si>
  <si>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</si>
  <si>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</si>
  <si>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</si>
  <si>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</si>
  <si>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</si>
  <si>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</si>
  <si>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</si>
  <si>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</si>
  <si>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</si>
  <si>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</si>
  <si>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</si>
  <si>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</si>
  <si>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</si>
  <si>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</si>
  <si>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</si>
  <si>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</si>
  <si>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</si>
  <si>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</si>
  <si>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</si>
  <si>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</si>
  <si>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</si>
  <si>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</si>
  <si>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</si>
  <si>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</si>
  <si>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</si>
  <si>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</si>
  <si>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</si>
  <si>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</si>
  <si>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</si>
  <si>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</si>
  <si>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</si>
  <si>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</si>
  <si>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</si>
  <si>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</si>
  <si>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</si>
  <si>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</si>
  <si>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</si>
  <si>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</si>
  <si>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</si>
  <si>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</si>
  <si>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</si>
  <si>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</si>
  <si>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</si>
  <si>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</si>
  <si>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</si>
  <si>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</si>
  <si>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</si>
  <si>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</si>
  <si>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</si>
  <si>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</si>
  <si>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</si>
  <si>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</si>
  <si>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</si>
  <si>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</si>
  <si>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</si>
  <si>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</si>
  <si>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</si>
  <si>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</si>
  <si>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</si>
  <si>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</si>
  <si>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</si>
  <si>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</si>
  <si>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</si>
  <si>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</si>
  <si>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</si>
  <si>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</si>
  <si>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</si>
  <si>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</si>
  <si>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</si>
  <si>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</si>
  <si>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</si>
  <si>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</si>
  <si>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</si>
  <si>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</si>
  <si>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</si>
  <si>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</si>
  <si>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</si>
  <si>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</si>
  <si>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</si>
  <si>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</si>
  <si>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</si>
  <si>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</si>
  <si>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</si>
  <si>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</si>
  <si>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</si>
  <si>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</si>
  <si>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</si>
  <si>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</si>
  <si>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</si>
  <si>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</si>
  <si>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</si>
  <si>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</si>
  <si>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</si>
  <si>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</si>
  <si>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</si>
  <si>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</si>
  <si>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</si>
  <si>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</si>
  <si>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</si>
  <si>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</si>
  <si>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</si>
  <si>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</si>
  <si>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</si>
  <si>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</si>
  <si>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</si>
  <si>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</si>
  <si>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</si>
  <si>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</si>
  <si>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</si>
  <si>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</si>
  <si>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</si>
  <si>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</si>
  <si>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</si>
  <si>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</si>
  <si>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</si>
  <si>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</si>
  <si>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</si>
  <si>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</si>
  <si>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</si>
  <si>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</si>
  <si>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</si>
  <si>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</si>
  <si>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</si>
  <si>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</si>
  <si>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</si>
  <si>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</si>
  <si>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</si>
  <si>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</si>
  <si>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</si>
  <si>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</si>
  <si>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</si>
  <si>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</si>
  <si>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</si>
  <si>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</si>
  <si>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</si>
  <si>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</si>
  <si>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</si>
  <si>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</si>
  <si>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</si>
  <si>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</si>
  <si>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</si>
  <si>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</si>
  <si>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</si>
  <si>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</si>
  <si>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</si>
  <si>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</si>
  <si>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</si>
  <si>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</si>
  <si>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</si>
  <si>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</si>
  <si>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</si>
  <si>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</si>
  <si>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</si>
  <si>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</si>
  <si>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</si>
  <si>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</si>
  <si>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</si>
  <si>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</si>
  <si>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</si>
  <si>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</si>
  <si>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</si>
  <si>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</si>
  <si>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</si>
  <si>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</si>
  <si>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</si>
  <si>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</si>
  <si>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</si>
  <si>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</si>
  <si>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</si>
  <si>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</si>
  <si>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</si>
  <si>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</si>
  <si>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</si>
  <si>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</si>
  <si>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</si>
  <si>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</si>
  <si>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</si>
  <si>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</si>
  <si>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</si>
  <si>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</si>
  <si>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</si>
  <si>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</si>
  <si>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</si>
  <si>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</si>
  <si>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</si>
  <si>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</si>
  <si>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</si>
  <si>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</si>
  <si>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</si>
  <si>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</si>
  <si>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</si>
  <si>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</si>
  <si>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</si>
  <si>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</si>
  <si>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</si>
  <si>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</si>
  <si>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</si>
  <si>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</si>
  <si>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</si>
  <si>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</si>
  <si>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</si>
  <si>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</si>
  <si>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</si>
  <si>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</si>
  <si>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</si>
  <si>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</si>
  <si>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</si>
  <si>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</si>
  <si>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</si>
  <si>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</si>
  <si>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</si>
  <si>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</si>
  <si>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</si>
  <si>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</si>
  <si>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</si>
  <si>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</si>
  <si>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</si>
  <si>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</si>
  <si>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</si>
  <si>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</si>
  <si>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</si>
  <si>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</si>
  <si>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</si>
  <si>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</si>
  <si>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</si>
  <si>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</si>
  <si>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</si>
  <si>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</si>
  <si>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</si>
  <si>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</si>
  <si>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</si>
  <si>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</si>
  <si>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</si>
  <si>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</si>
  <si>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</si>
  <si>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</si>
  <si>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</si>
  <si>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</si>
  <si>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</si>
  <si>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</si>
  <si>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</si>
  <si>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</si>
  <si>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</si>
  <si>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</si>
  <si>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</si>
  <si>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</si>
  <si>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</si>
  <si>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</si>
  <si>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</si>
  <si>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</si>
  <si>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</si>
  <si>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</si>
  <si>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</si>
  <si>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</si>
  <si>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</si>
  <si>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</si>
  <si>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</si>
  <si>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</si>
  <si>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</si>
  <si>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</si>
  <si>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</si>
  <si>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</si>
  <si>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</si>
  <si>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</si>
  <si>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</si>
  <si>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</si>
  <si>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</si>
  <si>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</si>
  <si>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</si>
  <si>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</si>
  <si>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</si>
  <si>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</si>
  <si>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</si>
  <si>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</si>
  <si>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</si>
  <si>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</si>
  <si>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</si>
  <si>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</si>
  <si>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</si>
  <si>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</si>
  <si>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</si>
  <si>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</si>
  <si>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</si>
  <si>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</si>
  <si>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</si>
  <si>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</si>
  <si>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</si>
  <si>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</si>
  <si>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</si>
  <si>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</si>
  <si>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</si>
  <si>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</si>
  <si>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</si>
  <si>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</si>
  <si>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</si>
  <si>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</si>
  <si>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</si>
  <si>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</si>
  <si>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</si>
  <si>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</si>
  <si>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</si>
  <si>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</si>
  <si>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</si>
  <si>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</si>
  <si>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</si>
  <si>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</si>
  <si>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</si>
  <si>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</si>
  <si>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</si>
  <si>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</si>
  <si>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</si>
  <si>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</si>
  <si>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</si>
  <si>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</si>
  <si>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</si>
  <si>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</si>
  <si>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</si>
  <si>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</si>
  <si>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</si>
  <si>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</si>
  <si>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</si>
  <si>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</si>
  <si>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</si>
  <si>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</si>
  <si>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</si>
  <si>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</si>
  <si>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</si>
  <si>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</si>
  <si>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</si>
  <si>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</si>
  <si>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</si>
  <si>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</si>
  <si>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</si>
  <si>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</si>
  <si>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</si>
  <si>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</si>
  <si>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</si>
  <si>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</si>
  <si>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</si>
  <si>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</si>
  <si>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</si>
  <si>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</si>
  <si>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</si>
  <si>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</si>
  <si>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</si>
  <si>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</si>
  <si>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</si>
  <si>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</si>
  <si>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</si>
  <si>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</si>
  <si>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</si>
  <si>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</si>
  <si>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</si>
  <si>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</si>
  <si>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</si>
  <si>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</si>
  <si>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</si>
  <si>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</si>
  <si>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</si>
  <si>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</si>
  <si>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</si>
  <si>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</si>
  <si>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</si>
  <si>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</si>
  <si>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</si>
  <si>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</si>
  <si>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</si>
  <si>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</si>
  <si>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</si>
  <si>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</si>
  <si>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</si>
  <si>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</si>
  <si>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</si>
  <si>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</si>
  <si>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</si>
  <si>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</si>
  <si>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</si>
  <si>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</si>
  <si>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</si>
  <si>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</si>
  <si>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</si>
  <si>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</si>
  <si>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</si>
  <si>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</si>
  <si>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</si>
  <si>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</si>
  <si>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</si>
  <si>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</si>
  <si>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</si>
  <si>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</si>
  <si>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</si>
  <si>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</si>
  <si>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</si>
  <si>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</si>
  <si>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</si>
  <si>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</si>
  <si>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</si>
  <si>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</si>
  <si>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</si>
  <si>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</si>
  <si>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</si>
  <si>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</si>
  <si>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</si>
  <si>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</si>
  <si>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</si>
  <si>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</si>
  <si>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</si>
  <si>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</si>
  <si>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</si>
  <si>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</si>
  <si>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</si>
  <si>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</si>
  <si>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</si>
  <si>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</si>
  <si>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</si>
  <si>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</si>
  <si>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</si>
  <si>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</si>
  <si>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</si>
  <si>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</si>
  <si>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</si>
  <si>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</si>
  <si>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</si>
  <si>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</si>
  <si>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</si>
  <si>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</si>
  <si>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</si>
  <si>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</si>
  <si>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</si>
  <si>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</si>
  <si>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</si>
  <si>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</si>
  <si>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</si>
  <si>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</si>
  <si>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</si>
  <si>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</si>
  <si>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</si>
  <si>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</si>
  <si>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</si>
  <si>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</si>
  <si>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</si>
  <si>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</si>
  <si>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</si>
  <si>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</si>
  <si>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</si>
  <si>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</si>
  <si>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</si>
  <si>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</si>
  <si>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</si>
  <si>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</si>
  <si>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</si>
  <si>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</si>
  <si>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</si>
  <si>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</si>
  <si>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</si>
  <si>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</si>
  <si>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</si>
  <si>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</si>
  <si>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</si>
  <si>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</si>
  <si>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</si>
  <si>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</si>
  <si>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</si>
  <si>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</si>
  <si>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</si>
  <si>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</si>
  <si>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</si>
  <si>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</si>
  <si>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</si>
  <si>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</si>
  <si>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</si>
  <si>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</si>
  <si>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</si>
  <si>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</si>
  <si>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</si>
  <si>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</si>
  <si>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</si>
  <si>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</si>
  <si>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</si>
  <si>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</si>
  <si>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</si>
  <si>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</si>
  <si>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</si>
  <si>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</si>
  <si>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</si>
  <si>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</si>
  <si>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</si>
  <si>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</si>
  <si>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</si>
  <si>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</si>
  <si>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</si>
  <si>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</si>
  <si>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</si>
  <si>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</si>
  <si>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</si>
  <si>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</si>
  <si>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</si>
  <si>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</si>
  <si>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</si>
  <si>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</si>
  <si>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</si>
  <si>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</si>
  <si>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</si>
  <si>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</si>
  <si>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</si>
  <si>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</si>
  <si>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</si>
  <si>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</si>
  <si>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</si>
  <si>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</si>
  <si>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</si>
  <si>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</si>
  <si>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</si>
  <si>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</si>
  <si>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</si>
  <si>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</si>
  <si>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</si>
  <si>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</si>
  <si>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</si>
  <si>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</si>
  <si>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</si>
  <si>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</si>
  <si>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</si>
  <si>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</si>
  <si>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</si>
  <si>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</si>
  <si>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</si>
  <si>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</si>
  <si>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</si>
  <si>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</si>
  <si>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</si>
  <si>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</si>
  <si>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</si>
  <si>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</si>
  <si>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</si>
  <si>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</si>
  <si>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</si>
  <si>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</si>
  <si>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</si>
  <si>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</si>
  <si>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</si>
  <si>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</si>
  <si>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</si>
  <si>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</si>
  <si>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</si>
  <si>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</si>
  <si>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</si>
  <si>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</si>
  <si>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</si>
  <si>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</si>
  <si>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</si>
  <si>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</si>
  <si>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</si>
  <si>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</si>
  <si>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</si>
  <si>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</si>
  <si>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</si>
  <si>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</si>
  <si>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</si>
  <si>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</si>
  <si>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</si>
  <si>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</si>
  <si>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</si>
  <si>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</si>
  <si>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</si>
  <si>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</si>
  <si>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</si>
  <si>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</si>
  <si>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</si>
  <si>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</si>
  <si>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</si>
  <si>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</si>
  <si>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</si>
  <si>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</si>
  <si>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</si>
  <si>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</si>
  <si>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</si>
  <si>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</si>
  <si>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</si>
  <si>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</si>
  <si>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</si>
  <si>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</si>
  <si>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</si>
  <si>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</si>
  <si>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</si>
  <si>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</si>
  <si>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</si>
  <si>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</si>
  <si>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</si>
  <si>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</si>
  <si>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</si>
  <si>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</si>
  <si>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</si>
  <si>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</si>
  <si>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</si>
  <si>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</si>
  <si>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</si>
  <si>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</si>
  <si>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</si>
  <si>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</si>
  <si>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</si>
  <si>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</si>
  <si>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</si>
  <si>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</si>
  <si>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</si>
  <si>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</si>
  <si>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</si>
  <si>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</si>
  <si>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</si>
  <si>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</si>
  <si>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</si>
  <si>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</si>
  <si>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</si>
  <si>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</si>
  <si>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</si>
  <si>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</si>
  <si>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</si>
  <si>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</si>
  <si>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</si>
  <si>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</si>
  <si>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</si>
  <si>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</si>
  <si>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</si>
  <si>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</si>
  <si>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</si>
  <si>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</si>
  <si>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</si>
  <si>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</si>
  <si>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</si>
  <si>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</si>
  <si>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</si>
  <si>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</si>
  <si>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</si>
  <si>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</si>
  <si>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</si>
  <si>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</si>
  <si>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</si>
  <si>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</si>
  <si>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</si>
  <si>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</si>
  <si>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</si>
  <si>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</si>
  <si>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</si>
  <si>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</si>
  <si>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</si>
  <si>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</si>
  <si>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</si>
  <si>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</si>
  <si>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</si>
  <si>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</si>
  <si>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</si>
  <si>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</si>
  <si>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</si>
  <si>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</si>
  <si>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</si>
  <si>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</si>
  <si>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</si>
  <si>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</si>
  <si>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</si>
  <si>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</si>
  <si>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</si>
  <si>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</si>
  <si>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</si>
  <si>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</si>
  <si>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</si>
  <si>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</si>
  <si>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</si>
  <si>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</si>
  <si>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</si>
  <si>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</si>
  <si>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</si>
  <si>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</si>
  <si>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</si>
  <si>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</si>
  <si>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</si>
  <si>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</si>
  <si>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</si>
  <si>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</si>
  <si>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</si>
  <si>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</si>
  <si>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</si>
  <si>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</si>
  <si>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</si>
  <si>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</si>
  <si>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</si>
  <si>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</si>
  <si>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</si>
  <si>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</si>
  <si>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</si>
  <si>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</si>
  <si>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</si>
  <si>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</si>
  <si>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</si>
  <si>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</si>
  <si>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</si>
  <si>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</si>
  <si>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</si>
  <si>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</si>
  <si>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</si>
  <si>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</si>
  <si>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</si>
  <si>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</si>
  <si>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</si>
  <si>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</si>
  <si>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</si>
  <si>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</si>
  <si>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</si>
  <si>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</si>
  <si>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</si>
  <si>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</si>
  <si>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</si>
  <si>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</si>
  <si>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</si>
  <si>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</si>
  <si>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</si>
  <si>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</si>
  <si>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</si>
  <si>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</si>
  <si>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</si>
  <si>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</si>
  <si>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</si>
  <si>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</si>
  <si>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</si>
  <si>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</si>
  <si>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</si>
  <si>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</si>
  <si>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</si>
  <si>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</si>
  <si>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</si>
  <si>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</si>
  <si>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</si>
  <si>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</si>
  <si>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</si>
  <si>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</si>
  <si>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</si>
  <si>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</si>
  <si>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</si>
  <si>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</si>
  <si>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</si>
  <si>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</si>
  <si>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</si>
  <si>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</si>
  <si>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</si>
  <si>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</si>
  <si>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</si>
  <si>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</si>
  <si>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</si>
  <si>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</si>
  <si>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</si>
  <si>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</si>
  <si>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</si>
  <si>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</si>
  <si>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</si>
  <si>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</si>
  <si>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</si>
  <si>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</si>
  <si>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</si>
  <si>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</si>
  <si>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</si>
  <si>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</si>
  <si>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</si>
  <si>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</si>
  <si>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</si>
  <si>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</si>
  <si>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</si>
  <si>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</si>
  <si>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</si>
  <si>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</si>
  <si>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</si>
  <si>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</si>
  <si>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</si>
  <si>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</si>
  <si>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</si>
  <si>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</si>
  <si>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</si>
  <si>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</si>
  <si>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</si>
  <si>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</si>
  <si>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</si>
  <si>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</si>
  <si>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</si>
  <si>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</si>
  <si>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</si>
  <si>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</si>
  <si>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</si>
  <si>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</si>
  <si>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</si>
  <si>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</si>
  <si>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</si>
  <si>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</si>
  <si>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</si>
  <si>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</si>
  <si>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</si>
  <si>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</si>
  <si>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</si>
  <si>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</si>
  <si>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</si>
  <si>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</si>
  <si>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</si>
  <si>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</si>
  <si>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</si>
  <si>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</si>
  <si>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</si>
  <si>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</si>
  <si>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</si>
  <si>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</si>
  <si>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</si>
  <si>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</si>
  <si>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</si>
  <si>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</si>
  <si>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</si>
  <si>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</si>
  <si>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</si>
  <si>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</si>
  <si>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</si>
  <si>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</si>
  <si>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</si>
  <si>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</si>
  <si>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</si>
  <si>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</si>
  <si>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</si>
  <si>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</si>
  <si>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</si>
  <si>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</si>
  <si>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</si>
  <si>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</si>
  <si>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</si>
  <si>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</si>
  <si>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</si>
  <si>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</si>
  <si>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</si>
  <si>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</si>
  <si>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</si>
  <si>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</si>
  <si>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</si>
  <si>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</si>
  <si>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</si>
  <si>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</si>
  <si>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</si>
  <si>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</si>
  <si>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</si>
  <si>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</si>
  <si>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</si>
  <si>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</si>
  <si>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</si>
  <si>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</si>
  <si>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</si>
  <si>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</si>
  <si>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</si>
  <si>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</si>
  <si>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</si>
  <si>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</si>
  <si>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</si>
  <si>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</si>
  <si>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</si>
  <si>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</si>
  <si>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</si>
  <si>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</si>
  <si>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</si>
  <si>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</si>
  <si>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</si>
  <si>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</si>
  <si>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</si>
  <si>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</si>
  <si>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</si>
  <si>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</si>
  <si>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</si>
  <si>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</si>
  <si>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</si>
  <si>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</si>
  <si>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</si>
  <si>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</si>
  <si>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</si>
  <si>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</si>
  <si>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</si>
  <si>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</si>
  <si>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</si>
  <si>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</si>
  <si>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</si>
  <si>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</si>
  <si>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</si>
  <si>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</si>
  <si>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</si>
  <si>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</si>
  <si>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</si>
  <si>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</si>
  <si>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</si>
  <si>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</si>
  <si>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</si>
  <si>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</si>
  <si>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</si>
  <si>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</si>
  <si>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</si>
  <si>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</si>
  <si>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</si>
  <si>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</si>
  <si>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</si>
  <si>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</si>
  <si>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</si>
  <si>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</si>
  <si>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</si>
  <si>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</si>
  <si>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</si>
  <si>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</si>
  <si>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</si>
  <si>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</si>
  <si>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</si>
  <si>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</si>
  <si>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</si>
  <si>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</si>
  <si>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</si>
  <si>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</si>
  <si>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</si>
  <si>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</si>
  <si>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</si>
  <si>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</si>
  <si>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</si>
  <si>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</si>
  <si>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</si>
  <si>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</si>
  <si>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</si>
  <si>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</si>
  <si>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</si>
  <si>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</si>
  <si>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</si>
  <si>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</si>
  <si>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</si>
  <si>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</si>
  <si>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</si>
  <si>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</si>
  <si>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</si>
  <si>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</si>
  <si>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</si>
  <si>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</si>
  <si>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</si>
  <si>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</si>
  <si>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</si>
  <si>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</si>
  <si>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</si>
  <si>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</si>
  <si>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</si>
  <si>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</si>
  <si>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</si>
  <si>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</si>
  <si>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</si>
  <si>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</si>
  <si>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</si>
  <si>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</si>
  <si>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</si>
  <si>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</si>
  <si>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</si>
  <si>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</si>
  <si>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</si>
  <si>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</si>
  <si>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</si>
  <si>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</si>
  <si>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</si>
  <si>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</si>
  <si>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</si>
  <si>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</si>
  <si>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</si>
  <si>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</si>
  <si>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</si>
  <si>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</si>
  <si>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</si>
  <si>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</si>
  <si>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</si>
  <si>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</si>
  <si>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</si>
  <si>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</si>
  <si>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</si>
  <si>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</si>
  <si>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</si>
  <si>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</si>
  <si>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</si>
  <si>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</si>
  <si>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</si>
  <si>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</si>
  <si>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</si>
  <si>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</si>
  <si>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</si>
  <si>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</si>
  <si>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</si>
  <si>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</si>
  <si>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</si>
  <si>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</si>
  <si>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</si>
  <si>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</si>
  <si>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</si>
  <si>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</si>
  <si>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</si>
  <si>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</si>
  <si>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</si>
  <si>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</si>
  <si>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</si>
  <si>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</si>
  <si>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</si>
  <si>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</si>
  <si>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</si>
  <si>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</si>
  <si>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</si>
  <si>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</si>
  <si>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</si>
  <si>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</si>
  <si>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</si>
  <si>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</si>
  <si>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</si>
  <si>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</si>
  <si>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</si>
  <si>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</si>
  <si>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</si>
  <si>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</si>
  <si>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</si>
  <si>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</si>
  <si>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</si>
  <si>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</si>
  <si>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</si>
  <si>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</si>
  <si>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</si>
  <si>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</si>
  <si>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</si>
  <si>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</si>
  <si>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</si>
  <si>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</si>
  <si>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</si>
  <si>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</si>
  <si>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</si>
  <si>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</si>
  <si>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</si>
  <si>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</si>
  <si>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</si>
  <si>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</si>
  <si>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</si>
  <si>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</si>
  <si>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</si>
  <si>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</si>
  <si>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</si>
  <si>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</si>
  <si>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</si>
  <si>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</si>
  <si>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</si>
  <si>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</si>
  <si>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</si>
  <si>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</si>
  <si>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</si>
  <si>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</si>
  <si>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</si>
  <si>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</si>
  <si>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</si>
  <si>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</si>
  <si>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</si>
  <si>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</si>
  <si>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</si>
  <si>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</si>
  <si>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</si>
  <si>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</si>
  <si>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</si>
  <si>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</si>
  <si>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</si>
  <si>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</si>
  <si>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</si>
  <si>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</si>
  <si>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</si>
  <si>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</si>
  <si>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</si>
  <si>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</si>
  <si>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</si>
  <si>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</si>
  <si>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</si>
  <si>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</si>
  <si>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</si>
  <si>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</si>
  <si>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</si>
  <si>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</si>
  <si>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</si>
  <si>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</si>
  <si>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</si>
  <si>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</si>
  <si>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</si>
  <si>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</si>
  <si>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</si>
  <si>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</si>
  <si>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</si>
  <si>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</si>
  <si>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</si>
  <si>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</si>
  <si>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</si>
  <si>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</si>
  <si>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</si>
  <si>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</si>
  <si>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</si>
  <si>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</si>
  <si>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</si>
  <si>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</si>
  <si>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</si>
  <si>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</si>
  <si>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</si>
  <si>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</si>
  <si>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</si>
  <si>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</si>
  <si>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</si>
  <si>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</si>
  <si>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</si>
  <si>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</si>
  <si>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</si>
  <si>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</si>
  <si>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</si>
  <si>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</si>
  <si>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</si>
  <si>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</si>
  <si>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</si>
  <si>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</si>
  <si>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</si>
  <si>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</si>
  <si>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</si>
  <si>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</si>
  <si>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</si>
  <si>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</si>
  <si>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</si>
  <si>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</si>
  <si>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</si>
  <si>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</si>
  <si>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</si>
  <si>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</si>
  <si>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</si>
  <si>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</si>
  <si>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</si>
  <si>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</si>
  <si>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</si>
  <si>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</si>
  <si>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</si>
  <si>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</si>
  <si>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</si>
  <si>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</si>
  <si>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</si>
  <si>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</si>
  <si>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</si>
  <si>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</si>
  <si>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</si>
  <si>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</si>
  <si>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</si>
  <si>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</si>
  <si>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</si>
  <si>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</si>
  <si>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</si>
  <si>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</si>
  <si>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</si>
  <si>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</si>
  <si>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</si>
  <si>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</si>
  <si>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</si>
  <si>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</si>
  <si>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</si>
  <si>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</si>
  <si>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</si>
  <si>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</si>
  <si>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</si>
  <si>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</si>
  <si>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</si>
  <si>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</si>
  <si>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</si>
  <si>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</si>
  <si>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</si>
  <si>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</si>
  <si>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</si>
  <si>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</si>
  <si>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</si>
  <si>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</si>
  <si>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</si>
  <si>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</si>
  <si>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</si>
  <si>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</si>
  <si>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</si>
  <si>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</si>
  <si>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</si>
  <si>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</si>
  <si>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</si>
  <si>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</si>
  <si>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</si>
  <si>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</si>
  <si>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</si>
  <si>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</si>
  <si>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</si>
  <si>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</si>
  <si>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</si>
  <si>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</si>
  <si>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</si>
  <si>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</si>
  <si>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</si>
  <si>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</si>
  <si>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</si>
  <si>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</si>
  <si>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</si>
  <si>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</si>
  <si>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</si>
  <si>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</si>
  <si>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</si>
  <si>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</si>
  <si>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</si>
  <si>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</si>
  <si>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</si>
  <si>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</si>
  <si>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</si>
  <si>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</si>
  <si>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</si>
  <si>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</si>
  <si>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</si>
  <si>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</si>
  <si>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</si>
  <si>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</si>
  <si>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</si>
  <si>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</si>
  <si>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</si>
  <si>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</si>
  <si>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</si>
  <si>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</si>
  <si>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</si>
  <si>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</si>
  <si>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</si>
  <si>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</si>
  <si>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</si>
  <si>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</si>
  <si>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</si>
  <si>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</si>
  <si>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</si>
  <si>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</si>
  <si>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</si>
  <si>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</si>
  <si>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</si>
  <si>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</si>
  <si>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</si>
  <si>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</si>
  <si>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</si>
  <si>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</si>
  <si>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</si>
  <si>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</si>
  <si>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</si>
  <si>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</si>
  <si>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</si>
  <si>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</si>
  <si>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</si>
  <si>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</si>
  <si>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</si>
  <si>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</si>
  <si>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</si>
  <si>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</si>
  <si>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</si>
  <si>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</si>
  <si>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</si>
  <si>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</si>
  <si>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</si>
  <si>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</si>
  <si>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</si>
  <si>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</si>
  <si>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</si>
  <si>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</si>
  <si>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</si>
  <si>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</si>
  <si>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</si>
  <si>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</si>
  <si>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</si>
  <si>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</si>
  <si>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</si>
  <si>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</si>
  <si>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</si>
  <si>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</si>
  <si>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</si>
  <si>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</si>
  <si>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</si>
  <si>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</si>
  <si>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</si>
  <si>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</si>
  <si>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</si>
  <si>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</si>
  <si>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</si>
  <si>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</si>
  <si>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</si>
  <si>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</si>
  <si>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</si>
  <si>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</si>
  <si>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</si>
  <si>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</si>
  <si>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</si>
  <si>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</si>
  <si>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</si>
  <si>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</si>
  <si>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</si>
  <si>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</si>
  <si>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</si>
  <si>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</si>
  <si>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</si>
  <si>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</si>
  <si>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</si>
  <si>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</si>
  <si>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</si>
  <si>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</si>
  <si>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</si>
  <si>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</si>
  <si>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</si>
  <si>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</si>
  <si>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</si>
  <si>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</si>
  <si>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</si>
  <si>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</si>
  <si>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</si>
  <si>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</si>
  <si>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</si>
  <si>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</si>
  <si>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</si>
  <si>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</si>
  <si>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</si>
  <si>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</si>
  <si>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</si>
  <si>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</si>
  <si>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</si>
  <si>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</si>
  <si>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</si>
  <si>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</si>
  <si>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</si>
  <si>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</si>
  <si>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</si>
  <si>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</si>
  <si>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</si>
  <si>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</si>
  <si>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</si>
  <si>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</si>
  <si>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</si>
  <si>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</si>
  <si>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</si>
  <si>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</si>
  <si>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</si>
  <si>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</si>
  <si>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</si>
  <si>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</si>
  <si>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</si>
  <si>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</si>
  <si>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</si>
  <si>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</si>
  <si>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</si>
  <si>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</si>
  <si>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</si>
  <si>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</si>
  <si>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</si>
  <si>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</si>
  <si>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</si>
  <si>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</si>
  <si>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</si>
  <si>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</si>
  <si>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</si>
  <si>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</si>
  <si>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</si>
  <si>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</si>
  <si>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</si>
  <si>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</si>
  <si>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</si>
  <si>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</si>
  <si>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</si>
  <si>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</si>
  <si>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</si>
  <si>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</si>
  <si>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</si>
  <si>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</si>
  <si>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</si>
  <si>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</si>
  <si>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</si>
  <si>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</si>
  <si>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</si>
  <si>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</si>
  <si>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</si>
  <si>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</si>
  <si>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</si>
  <si>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</si>
  <si>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</si>
  <si>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</si>
  <si>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</si>
  <si>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</si>
  <si>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</si>
  <si>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</si>
  <si>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</si>
  <si>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</si>
  <si>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</si>
  <si>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</si>
  <si>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</si>
  <si>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</si>
  <si>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</si>
  <si>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</si>
  <si>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</si>
  <si>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</si>
  <si>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</si>
  <si>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</si>
  <si>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</si>
  <si>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</si>
  <si>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</si>
  <si>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</si>
  <si>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</si>
  <si>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</si>
  <si>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</si>
  <si>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</si>
  <si>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</si>
  <si>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</si>
  <si>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</si>
  <si>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</si>
  <si>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</si>
  <si>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</si>
  <si>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</si>
  <si>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</si>
  <si>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</si>
  <si>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</si>
  <si>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</si>
  <si>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</si>
  <si>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</si>
  <si>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</si>
  <si>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</si>
  <si>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</si>
  <si>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</si>
  <si>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</si>
  <si>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</si>
  <si>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</si>
  <si>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</si>
  <si>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</si>
  <si>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</si>
  <si>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</si>
  <si>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</si>
  <si>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</si>
  <si>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</si>
  <si>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</si>
  <si>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</si>
  <si>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</si>
  <si>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</si>
  <si>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</si>
  <si>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</si>
  <si>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</si>
  <si>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</si>
  <si>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</si>
  <si>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</si>
  <si>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</si>
  <si>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</si>
  <si>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</si>
  <si>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</si>
  <si>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</si>
  <si>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</si>
  <si>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</si>
  <si>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</si>
  <si>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</si>
  <si>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</si>
  <si>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</si>
  <si>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</si>
  <si>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</si>
  <si>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</si>
  <si>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</si>
  <si>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</si>
  <si>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</si>
  <si>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</si>
  <si>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</si>
  <si>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</si>
  <si>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</si>
  <si>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</si>
  <si>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</si>
  <si>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</si>
  <si>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</si>
  <si>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</si>
  <si>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</si>
  <si>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</si>
  <si>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</si>
  <si>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</si>
  <si>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</si>
  <si>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</si>
  <si>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</si>
  <si>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</si>
  <si>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</si>
  <si>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</si>
  <si>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</si>
  <si>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</si>
  <si>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</si>
  <si>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</si>
  <si>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</si>
  <si>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</si>
  <si>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</si>
  <si>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</si>
  <si>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</si>
  <si>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</si>
  <si>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</si>
  <si>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</si>
  <si>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</si>
  <si>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</si>
  <si>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</si>
  <si>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</si>
  <si>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</si>
  <si>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</si>
  <si>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</si>
  <si>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</si>
  <si>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</si>
  <si>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</si>
  <si>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</si>
  <si>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</si>
  <si>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</si>
  <si>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</si>
  <si>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</si>
  <si>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</si>
  <si>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</si>
  <si>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</si>
  <si>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</si>
  <si>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</si>
  <si>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</si>
  <si>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</si>
  <si>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</si>
  <si>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</si>
  <si>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</si>
  <si>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</si>
  <si>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</si>
  <si>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</si>
  <si>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</si>
  <si>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</si>
  <si>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</si>
  <si>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</si>
  <si>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</si>
  <si>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</si>
  <si>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</si>
  <si>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</si>
  <si>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</si>
  <si>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</si>
  <si>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</si>
  <si>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</si>
  <si>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</si>
  <si>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</si>
  <si>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</si>
  <si>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</si>
  <si>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</si>
  <si>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</si>
  <si>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</si>
  <si>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</si>
  <si>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</si>
  <si>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</si>
  <si>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</si>
  <si>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</si>
  <si>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</si>
  <si>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</si>
  <si>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</si>
  <si>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</si>
  <si>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</si>
  <si>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</si>
  <si>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</si>
  <si>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</si>
  <si>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</si>
  <si>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</si>
  <si>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</si>
  <si>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</si>
  <si>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</si>
  <si>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</si>
  <si>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</si>
  <si>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</si>
  <si>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</si>
  <si>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</si>
  <si>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</si>
  <si>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</si>
  <si>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</si>
  <si>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</si>
  <si>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</si>
  <si>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</si>
  <si>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</si>
  <si>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</si>
  <si>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</si>
  <si>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</si>
  <si>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</si>
  <si>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</si>
  <si>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</si>
  <si>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</si>
  <si>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</si>
  <si>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</si>
  <si>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</si>
  <si>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</si>
  <si>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</si>
  <si>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</si>
  <si>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</si>
  <si>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</si>
  <si>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</si>
  <si>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</si>
  <si>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</si>
  <si>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</si>
  <si>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</si>
  <si>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</si>
  <si>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</si>
  <si>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</si>
  <si>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</si>
  <si>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</si>
  <si>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</si>
  <si>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</si>
  <si>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</si>
  <si>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</si>
  <si>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</si>
  <si>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</si>
  <si>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</si>
  <si>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</si>
  <si>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</si>
  <si>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</si>
  <si>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</si>
  <si>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</si>
  <si>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</si>
  <si>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</si>
  <si>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</si>
  <si>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</si>
  <si>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</si>
  <si>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</si>
  <si>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</si>
  <si>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</si>
  <si>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</si>
  <si>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</si>
  <si>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</si>
  <si>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</si>
  <si>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</si>
  <si>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</si>
  <si>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</si>
  <si>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</si>
  <si>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</si>
  <si>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</si>
  <si>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</si>
  <si>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</si>
  <si>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</si>
  <si>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</si>
  <si>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</si>
  <si>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</si>
  <si>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</si>
  <si>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</si>
  <si>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</si>
  <si>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</si>
  <si>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</si>
  <si>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</si>
  <si>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</si>
  <si>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</si>
  <si>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</si>
  <si>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</si>
  <si>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</si>
  <si>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</si>
  <si>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</si>
  <si>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</si>
  <si>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</si>
  <si>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</si>
  <si>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</si>
  <si>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</si>
  <si>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</si>
  <si>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</si>
  <si>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</si>
  <si>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</si>
  <si>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</si>
  <si>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</si>
  <si>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</si>
  <si>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</si>
  <si>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</si>
  <si>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</si>
  <si>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</si>
  <si>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</si>
  <si>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</si>
  <si>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</si>
  <si>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</si>
  <si>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</si>
  <si>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</si>
  <si>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</si>
  <si>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</si>
  <si>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</si>
  <si>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</si>
  <si>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</si>
  <si>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</si>
  <si>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</si>
  <si>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</si>
  <si>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</si>
  <si>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</si>
  <si>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</si>
  <si>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</si>
  <si>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</si>
  <si>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</si>
  <si>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</si>
  <si>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</si>
  <si>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</si>
  <si>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</si>
  <si>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</si>
  <si>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</si>
  <si>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</si>
  <si>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</si>
  <si>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</si>
  <si>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</si>
  <si>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</si>
  <si>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</si>
  <si>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</si>
  <si>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</si>
  <si>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</si>
  <si>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</si>
  <si>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</si>
  <si>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</si>
  <si>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</si>
  <si>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</si>
  <si>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</si>
  <si>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</si>
  <si>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</si>
  <si>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</si>
  <si>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</si>
  <si>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</si>
  <si>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</si>
  <si>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</si>
  <si>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</si>
  <si>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</si>
  <si>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</si>
  <si>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</si>
  <si>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</si>
  <si>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</si>
  <si>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</si>
  <si>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</si>
  <si>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</si>
  <si>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</si>
  <si>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</si>
  <si>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</si>
  <si>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</si>
  <si>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</si>
  <si>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</si>
  <si>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</si>
  <si>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</si>
  <si>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</si>
  <si>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</si>
  <si>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</si>
  <si>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</si>
  <si>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</si>
  <si>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</si>
  <si>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</si>
  <si>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</si>
  <si>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</si>
  <si>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</si>
  <si>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</si>
  <si>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</si>
  <si>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</si>
  <si>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</si>
  <si>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</si>
  <si>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</si>
  <si>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</si>
  <si>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</si>
  <si>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</si>
  <si>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</si>
  <si>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</si>
  <si>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</si>
  <si>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</si>
  <si>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</si>
  <si>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</si>
  <si>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</si>
  <si>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</si>
  <si>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</si>
  <si>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</si>
  <si>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</si>
  <si>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</si>
  <si>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</si>
  <si>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</si>
  <si>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</si>
  <si>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</si>
  <si>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</si>
  <si>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</si>
  <si>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</si>
  <si>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</si>
  <si>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</si>
  <si>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</si>
  <si>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</si>
  <si>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</si>
  <si>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</si>
  <si>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</si>
  <si>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</si>
  <si>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</si>
  <si>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</si>
  <si>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</si>
  <si>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</si>
  <si>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</si>
  <si>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</si>
  <si>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</si>
  <si>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</si>
  <si>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</si>
  <si>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</si>
  <si>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</si>
  <si>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</si>
  <si>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</si>
  <si>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</si>
  <si>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</si>
  <si>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</si>
  <si>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</si>
  <si>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</si>
  <si>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</si>
  <si>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</si>
  <si>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</si>
  <si>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</si>
  <si>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</si>
  <si>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</si>
  <si>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</si>
  <si>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</si>
  <si>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</si>
  <si>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</si>
  <si>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</si>
  <si>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</si>
  <si>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</si>
  <si>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</si>
  <si>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</si>
  <si>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</si>
  <si>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</si>
  <si>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</si>
  <si>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</si>
  <si>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</si>
  <si>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</si>
  <si>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</si>
  <si>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</si>
  <si>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</si>
  <si>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</si>
  <si>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</si>
  <si>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</si>
  <si>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</si>
  <si>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</si>
  <si>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</si>
  <si>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</si>
  <si>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</si>
  <si>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</si>
  <si>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</si>
  <si>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</si>
  <si>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</si>
  <si>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</si>
  <si>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</si>
  <si>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</si>
  <si>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</si>
  <si>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</si>
  <si>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</si>
  <si>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</si>
  <si>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</si>
  <si>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</si>
  <si>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</si>
  <si>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</si>
  <si>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</si>
  <si>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</si>
  <si>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</si>
  <si>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</si>
  <si>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</si>
  <si>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</si>
  <si>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</si>
  <si>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</si>
  <si>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</si>
  <si>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</si>
  <si>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</si>
  <si>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</si>
  <si>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</si>
  <si>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</si>
  <si>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</si>
  <si>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</si>
  <si>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</si>
  <si>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</si>
  <si>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</si>
  <si>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</si>
  <si>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</si>
  <si>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</si>
  <si>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</si>
  <si>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</si>
  <si>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</si>
  <si>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</si>
  <si>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</si>
  <si>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</si>
  <si>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</si>
  <si>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</si>
  <si>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</si>
  <si>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</si>
  <si>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</si>
  <si>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</si>
  <si>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</si>
  <si>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</si>
  <si>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</si>
  <si>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</si>
  <si>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</si>
  <si>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</si>
  <si>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</si>
  <si>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</si>
  <si>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</si>
  <si>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</si>
  <si>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</si>
  <si>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</si>
  <si>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</si>
  <si>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</si>
  <si>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</si>
  <si>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</si>
  <si>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</si>
  <si>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</si>
  <si>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</si>
  <si>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</si>
  <si>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</si>
  <si>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</si>
  <si>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</si>
  <si>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</si>
  <si>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</si>
  <si>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</si>
  <si>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</si>
  <si>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</si>
  <si>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</si>
  <si>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</si>
  <si>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</si>
  <si>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</si>
  <si>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</si>
  <si>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</si>
  <si>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</si>
  <si>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</si>
  <si>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</si>
  <si>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</si>
  <si>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</si>
  <si>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</si>
  <si>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</si>
  <si>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</si>
  <si>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</si>
  <si>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</si>
  <si>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</si>
  <si>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</si>
  <si>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</si>
  <si>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</si>
  <si>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</si>
  <si>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</si>
  <si>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</si>
  <si>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</si>
  <si>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</si>
  <si>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</si>
  <si>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</si>
  <si>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</si>
  <si>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</si>
  <si>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</si>
  <si>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</si>
  <si>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</si>
  <si>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</si>
  <si>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</si>
  <si>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</si>
  <si>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</si>
  <si>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</si>
  <si>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</si>
  <si>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</si>
  <si>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</si>
  <si>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</si>
  <si>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</si>
  <si>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</si>
  <si>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</si>
  <si>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</si>
  <si>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</si>
  <si>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</si>
  <si>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</si>
  <si>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</si>
  <si>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</si>
  <si>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</si>
  <si>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</si>
  <si>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</si>
  <si>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</si>
  <si>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</si>
  <si>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</si>
  <si>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</si>
  <si>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</si>
  <si>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</si>
  <si>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</si>
  <si>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</si>
  <si>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</si>
  <si>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</si>
  <si>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</si>
  <si>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</si>
  <si>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</si>
  <si>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</si>
  <si>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</si>
  <si>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</si>
  <si>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</si>
  <si>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</si>
  <si>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</si>
  <si>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</si>
  <si>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</si>
  <si>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</si>
  <si>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</si>
  <si>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</si>
  <si>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</si>
  <si>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</si>
  <si>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</si>
  <si>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</si>
  <si>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</si>
  <si>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</si>
  <si>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</si>
  <si>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</si>
  <si>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</si>
  <si>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</si>
  <si>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</si>
  <si>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</si>
  <si>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</si>
  <si>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</si>
  <si>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</si>
  <si>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</si>
  <si>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</si>
  <si>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</si>
  <si>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</si>
  <si>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</si>
  <si>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</si>
  <si>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</si>
  <si>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</si>
  <si>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</si>
  <si>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</si>
  <si>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</si>
  <si>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</si>
  <si>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</si>
  <si>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</si>
  <si>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</si>
  <si>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</si>
  <si>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</si>
  <si>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</si>
  <si>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</si>
  <si>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</si>
  <si>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</si>
  <si>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</si>
  <si>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</si>
  <si>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</si>
  <si>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</si>
  <si>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</si>
  <si>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</si>
  <si>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</si>
  <si>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</si>
  <si>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</si>
  <si>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</si>
  <si>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</si>
  <si>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</si>
  <si>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</si>
  <si>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</si>
  <si>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</si>
  <si>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</si>
  <si>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</si>
  <si>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</si>
  <si>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</si>
  <si>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</si>
  <si>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</si>
  <si>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</si>
  <si>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</si>
  <si>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</si>
  <si>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</si>
  <si>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</si>
  <si>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</si>
  <si>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</si>
  <si>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</si>
  <si>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</si>
  <si>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</si>
  <si>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</si>
  <si>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</si>
  <si>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</si>
  <si>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</si>
  <si>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</si>
  <si>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</si>
  <si>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</si>
  <si>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</si>
  <si>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</si>
  <si>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</si>
  <si>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</si>
  <si>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</si>
  <si>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</si>
  <si>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</si>
  <si>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</si>
  <si>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</si>
  <si>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</si>
  <si>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</si>
  <si>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</si>
  <si>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</si>
  <si>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</si>
  <si>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</si>
  <si>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</si>
  <si>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</si>
  <si>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</si>
  <si>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</si>
  <si>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</si>
  <si>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</si>
  <si>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</si>
  <si>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</si>
  <si>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</si>
  <si>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</si>
  <si>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</si>
  <si>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</si>
  <si>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</si>
  <si>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</si>
  <si>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</si>
  <si>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</si>
  <si>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</si>
  <si>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</si>
  <si>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</si>
  <si>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</si>
  <si>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</si>
  <si>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</si>
  <si>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</si>
  <si>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</si>
  <si>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</si>
  <si>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</si>
  <si>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</si>
  <si>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</si>
  <si>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</si>
  <si>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</si>
  <si>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</si>
  <si>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</si>
  <si>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</si>
  <si>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</si>
  <si>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</si>
  <si>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</si>
  <si>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</si>
  <si>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</si>
  <si>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</si>
  <si>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</si>
  <si>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</si>
  <si>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</si>
  <si>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</si>
  <si>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</si>
  <si>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</si>
  <si>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</si>
  <si>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</si>
  <si>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</si>
  <si>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</si>
  <si>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</si>
  <si>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</si>
  <si>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</si>
  <si>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</si>
  <si>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</si>
  <si>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</si>
  <si>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</si>
  <si>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</si>
  <si>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</si>
  <si>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</si>
  <si>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</si>
  <si>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</si>
  <si>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</si>
  <si>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</si>
  <si>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</si>
  <si>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</si>
  <si>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</si>
  <si>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</si>
  <si>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</si>
  <si>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</si>
  <si>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</si>
  <si>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</si>
  <si>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</si>
  <si>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</si>
  <si>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</si>
  <si>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</si>
  <si>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</si>
  <si>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</si>
  <si>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</si>
  <si>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</si>
  <si>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</si>
  <si>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</si>
  <si>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</si>
  <si>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</si>
  <si>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</si>
  <si>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</si>
  <si>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</si>
  <si>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</si>
  <si>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</si>
  <si>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</si>
  <si>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</si>
  <si>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</si>
  <si>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</si>
  <si>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</si>
  <si>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</si>
  <si>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</si>
  <si>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</si>
  <si>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</si>
  <si>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</si>
  <si>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</si>
  <si>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</si>
  <si>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</si>
  <si>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</si>
  <si>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</si>
  <si>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</si>
  <si>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</si>
  <si>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</si>
  <si>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</si>
  <si>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</si>
  <si>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</si>
  <si>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</si>
  <si>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</si>
  <si>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</si>
  <si>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</si>
  <si>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</si>
  <si>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</si>
  <si>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</si>
  <si>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</si>
  <si>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</si>
  <si>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</si>
  <si>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</si>
  <si>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</si>
  <si>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</si>
  <si>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</si>
  <si>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</si>
  <si>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</si>
  <si>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</si>
  <si>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</si>
  <si>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</si>
  <si>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</si>
  <si>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</si>
  <si>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</si>
  <si>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</si>
  <si>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</si>
  <si>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</si>
  <si>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</si>
  <si>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</si>
  <si>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</si>
  <si>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</si>
  <si>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</si>
  <si>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</si>
  <si>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</si>
  <si>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</si>
  <si>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</si>
  <si>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</si>
  <si>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</si>
  <si>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</si>
  <si>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</si>
  <si>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</si>
  <si>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</si>
  <si>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</si>
  <si>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</si>
  <si>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</si>
  <si>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</si>
  <si>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</si>
  <si>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</si>
  <si>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</si>
  <si>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</si>
  <si>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</si>
  <si>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</si>
  <si>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</si>
  <si>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</si>
  <si>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</si>
  <si>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</si>
  <si>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</si>
  <si>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</si>
  <si>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</si>
  <si>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</si>
  <si>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</si>
  <si>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</si>
  <si>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</si>
  <si>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</si>
  <si>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</si>
  <si>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</si>
  <si>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</si>
  <si>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</si>
  <si>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</si>
  <si>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</si>
  <si>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</si>
  <si>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</si>
  <si>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</si>
  <si>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</si>
  <si>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</si>
  <si>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</si>
  <si>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</si>
  <si>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</si>
  <si>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</si>
  <si>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</si>
  <si>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</si>
  <si>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</si>
  <si>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</si>
  <si>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</si>
  <si>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</si>
  <si>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</si>
  <si>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</si>
  <si>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</si>
  <si>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</si>
  <si>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</si>
  <si>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</si>
  <si>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</si>
  <si>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</si>
  <si>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</si>
  <si>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</si>
  <si>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</si>
  <si>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</si>
  <si>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</si>
  <si>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</si>
  <si>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</si>
  <si>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</si>
  <si>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</si>
  <si>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</si>
  <si>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</si>
  <si>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</si>
  <si>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</si>
  <si>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</si>
  <si>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</si>
  <si>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</si>
  <si>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</si>
  <si>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</si>
  <si>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</si>
  <si>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</si>
  <si>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</si>
  <si>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</si>
  <si>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</si>
  <si>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</si>
  <si>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</si>
  <si>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</si>
  <si>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</si>
  <si>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</si>
  <si>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</si>
  <si>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</si>
  <si>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</si>
  <si>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</si>
  <si>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</si>
  <si>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</si>
  <si>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</si>
  <si>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</si>
  <si>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</si>
  <si>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</si>
  <si>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</si>
  <si>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</si>
  <si>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</si>
  <si>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</si>
  <si>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</si>
  <si>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</si>
  <si>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</si>
  <si>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</si>
  <si>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</si>
  <si>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</si>
  <si>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</si>
  <si>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</si>
  <si>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</si>
  <si>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</si>
  <si>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</si>
  <si>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</si>
  <si>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</si>
  <si>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</si>
  <si>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</si>
  <si>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</si>
  <si>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</si>
  <si>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</si>
  <si>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</si>
  <si>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</si>
  <si>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</si>
  <si>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</si>
  <si>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</si>
  <si>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</si>
  <si>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</si>
  <si>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</si>
  <si>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</si>
  <si>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</si>
  <si>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</si>
  <si>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</si>
  <si>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</si>
  <si>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</si>
  <si>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</si>
  <si>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</si>
  <si>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</si>
  <si>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</si>
  <si>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</si>
  <si>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</si>
  <si>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</si>
  <si>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</si>
  <si>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</si>
  <si>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</si>
  <si>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</si>
  <si>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</si>
  <si>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</si>
  <si>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</si>
  <si>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</si>
  <si>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</si>
  <si>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</si>
  <si>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</si>
  <si>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</si>
  <si>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</si>
  <si>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</si>
  <si>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</si>
  <si>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</si>
  <si>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</si>
  <si>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</si>
  <si>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</si>
  <si>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</si>
  <si>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</si>
  <si>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</si>
  <si>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</si>
  <si>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</si>
  <si>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</si>
  <si>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</si>
  <si>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</si>
  <si>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</si>
  <si>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</si>
  <si>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</si>
  <si>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</si>
  <si>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</si>
  <si>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</si>
  <si>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</si>
  <si>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</si>
  <si>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</si>
  <si>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</si>
  <si>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</si>
  <si>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</si>
  <si>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</si>
  <si>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</si>
  <si>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</si>
  <si>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</si>
  <si>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</si>
  <si>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</si>
  <si>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</si>
  <si>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</si>
  <si>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</si>
  <si>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</si>
  <si>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</si>
  <si>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</si>
  <si>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</si>
  <si>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</si>
  <si>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</si>
  <si>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</si>
  <si>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</si>
  <si>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</si>
  <si>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</si>
  <si>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</si>
  <si>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</si>
  <si>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</si>
  <si>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</si>
  <si>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</si>
  <si>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</si>
  <si>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</si>
  <si>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</si>
  <si>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</si>
  <si>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</si>
  <si>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</si>
  <si>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</si>
  <si>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</si>
  <si>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</si>
  <si>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</si>
  <si>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</si>
  <si>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</si>
  <si>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</si>
  <si>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</si>
  <si>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</si>
  <si>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</si>
  <si>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</si>
  <si>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</si>
  <si>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</si>
  <si>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</si>
  <si>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</si>
  <si>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</si>
  <si>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</si>
  <si>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</si>
  <si>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</si>
  <si>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</si>
  <si>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</si>
  <si>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</si>
  <si>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</si>
  <si>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</si>
  <si>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</si>
  <si>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</si>
  <si>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</si>
  <si>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</si>
  <si>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</si>
  <si>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</si>
  <si>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</si>
  <si>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</si>
  <si>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</si>
  <si>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</si>
  <si>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</si>
  <si>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</si>
  <si>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</si>
  <si>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</si>
  <si>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</si>
  <si>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</si>
  <si>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</si>
  <si>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</si>
  <si>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</si>
  <si>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</si>
  <si>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</si>
  <si>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</si>
  <si>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</si>
  <si>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</si>
  <si>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</si>
  <si>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</si>
  <si>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</si>
  <si>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</si>
  <si>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</si>
  <si>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</si>
  <si>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</si>
  <si>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</si>
  <si>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</si>
  <si>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</si>
  <si>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</si>
  <si>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</si>
  <si>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</si>
  <si>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</si>
  <si>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</si>
  <si>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</si>
  <si>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</si>
  <si>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</si>
  <si>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</si>
  <si>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</si>
  <si>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</si>
  <si>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</si>
  <si>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</si>
  <si>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</si>
  <si>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</si>
  <si>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</si>
  <si>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</si>
  <si>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</si>
  <si>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</si>
  <si>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</si>
  <si>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</si>
  <si>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</si>
  <si>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</si>
  <si>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</si>
  <si>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</si>
  <si>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</si>
  <si>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</si>
  <si>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</si>
  <si>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</si>
  <si>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</si>
  <si>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</si>
  <si>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</si>
  <si>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</si>
  <si>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</si>
  <si>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</si>
  <si>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</si>
  <si>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</si>
  <si>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</si>
  <si>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</si>
  <si>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</si>
  <si>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</si>
  <si>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</si>
  <si>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</si>
  <si>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</si>
  <si>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</si>
  <si>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</si>
  <si>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</si>
  <si>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</si>
  <si>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</si>
  <si>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</si>
  <si>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</si>
  <si>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</si>
  <si>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</si>
  <si>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</si>
  <si>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</si>
  <si>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</si>
  <si>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</si>
  <si>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</si>
  <si>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</si>
  <si>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</si>
  <si>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</si>
  <si>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</si>
  <si>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</si>
  <si>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</si>
  <si>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</si>
  <si>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</si>
  <si>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</si>
  <si>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</si>
  <si>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</si>
  <si>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</si>
  <si>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</si>
  <si>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</si>
  <si>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</si>
  <si>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</si>
  <si>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</si>
  <si>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</si>
  <si>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</si>
  <si>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</si>
  <si>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</si>
  <si>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</si>
  <si>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</si>
  <si>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</si>
  <si>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</si>
  <si>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</si>
  <si>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</si>
  <si>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</si>
  <si>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</si>
  <si>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</si>
  <si>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</si>
  <si>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</si>
  <si>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</si>
  <si>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</si>
  <si>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</si>
  <si>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</si>
  <si>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</si>
  <si>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</si>
  <si>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</si>
  <si>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</si>
  <si>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</si>
  <si>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</si>
  <si>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</si>
  <si>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</si>
  <si>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</si>
  <si>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</si>
  <si>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</si>
  <si>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</si>
  <si>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</si>
  <si>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</si>
  <si>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</si>
  <si>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</si>
  <si>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</si>
  <si>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</si>
  <si>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</si>
  <si>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</si>
  <si>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</si>
  <si>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</si>
  <si>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</si>
  <si>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</si>
  <si>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</si>
  <si>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</si>
  <si>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</si>
  <si>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</si>
  <si>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</si>
  <si>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</si>
  <si>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</si>
  <si>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</si>
  <si>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</si>
  <si>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</si>
  <si>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</si>
  <si>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</si>
  <si>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</si>
  <si>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</si>
  <si>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</si>
  <si>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</si>
  <si>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</si>
  <si>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</si>
  <si>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</si>
  <si>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</si>
  <si>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</si>
  <si>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</si>
  <si>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</si>
  <si>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</si>
  <si>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</si>
  <si>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</si>
  <si>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</si>
  <si>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</si>
  <si>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</si>
  <si>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</si>
  <si>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</si>
  <si>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</si>
  <si>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</si>
  <si>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</si>
  <si>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</si>
  <si>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</si>
  <si>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</si>
  <si>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</si>
  <si>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</si>
  <si>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</si>
  <si>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</si>
  <si>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</si>
  <si>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</si>
  <si>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</si>
  <si>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</si>
  <si>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</si>
  <si>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</si>
  <si>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</si>
  <si>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</si>
  <si>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</si>
  <si>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</si>
  <si>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</si>
  <si>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</si>
  <si>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</si>
  <si>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</si>
  <si>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</si>
  <si>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</si>
  <si>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</si>
  <si>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</si>
  <si>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</si>
  <si>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</si>
  <si>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</si>
  <si>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</si>
  <si>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</si>
  <si>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</si>
  <si>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</si>
  <si>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</si>
  <si>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</si>
  <si>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</si>
  <si>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</si>
  <si>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</si>
  <si>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</si>
  <si>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</si>
  <si>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</si>
  <si>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</si>
  <si>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</si>
  <si>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</si>
  <si>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</si>
  <si>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</si>
  <si>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</si>
  <si>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</si>
  <si>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</si>
  <si>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</si>
  <si>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</si>
  <si>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</si>
  <si>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</si>
  <si>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</si>
  <si>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</si>
  <si>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</si>
  <si>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</si>
  <si>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</si>
  <si>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</si>
  <si>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</si>
  <si>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</si>
  <si>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</si>
  <si>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</si>
  <si>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</si>
  <si>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</si>
  <si>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</si>
  <si>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</si>
  <si>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</si>
  <si>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</si>
  <si>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</si>
  <si>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</si>
  <si>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</si>
  <si>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</si>
  <si>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</si>
  <si>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</si>
  <si>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</si>
  <si>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</si>
  <si>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</si>
  <si>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</si>
  <si>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</si>
  <si>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</si>
  <si>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</si>
  <si>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</si>
  <si>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</si>
  <si>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</si>
  <si>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</si>
  <si>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</si>
  <si>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</si>
  <si>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</si>
  <si>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</si>
  <si>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</si>
  <si>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</si>
  <si>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</si>
  <si>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</si>
  <si>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</si>
  <si>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</si>
  <si>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</si>
  <si>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</si>
  <si>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</si>
  <si>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</si>
  <si>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</si>
  <si>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</si>
  <si>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</si>
  <si>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</si>
  <si>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</si>
  <si>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</si>
  <si>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</si>
  <si>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</si>
  <si>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</si>
  <si>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</si>
  <si>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</si>
  <si>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</si>
  <si>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</si>
  <si>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</si>
  <si>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</si>
  <si>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</si>
  <si>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</si>
  <si>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</si>
  <si>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</si>
  <si>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</si>
  <si>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</si>
  <si>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</si>
  <si>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</si>
  <si>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</si>
  <si>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</si>
  <si>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</si>
  <si>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</si>
  <si>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</si>
  <si>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</si>
  <si>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</si>
  <si>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</si>
  <si>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</si>
  <si>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</si>
  <si>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</si>
  <si>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</si>
  <si>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</si>
  <si>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</si>
  <si>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</si>
  <si>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</si>
  <si>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</si>
  <si>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</si>
  <si>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</si>
  <si>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</si>
  <si>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</si>
  <si>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</si>
  <si>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</si>
  <si>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</si>
  <si>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</si>
  <si>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</si>
  <si>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</si>
  <si>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</si>
  <si>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</si>
  <si>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</si>
  <si>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</si>
  <si>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</si>
  <si>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</si>
  <si>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</si>
  <si>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</si>
  <si>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</si>
  <si>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</si>
  <si>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</si>
  <si>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</si>
  <si>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</si>
  <si>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</si>
  <si>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</si>
  <si>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</si>
  <si>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</si>
  <si>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</si>
  <si>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</si>
  <si>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</si>
  <si>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</si>
  <si>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</si>
  <si>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</si>
  <si>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</si>
  <si>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</si>
  <si>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</si>
  <si>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</si>
  <si>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</si>
  <si>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</si>
  <si>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</si>
  <si>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</si>
  <si>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</si>
  <si>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</si>
  <si>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</si>
  <si>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</si>
  <si>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</si>
  <si>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</si>
  <si>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</si>
  <si>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</si>
  <si>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</si>
  <si>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</si>
  <si>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</si>
  <si>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</si>
  <si>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</si>
  <si>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</si>
  <si>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</si>
  <si>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</si>
  <si>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</si>
  <si>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</si>
  <si>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</si>
  <si>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</si>
  <si>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</si>
  <si>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</si>
  <si>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</si>
  <si>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</si>
  <si>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</si>
  <si>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</si>
  <si>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</si>
  <si>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</si>
  <si>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</si>
  <si>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</si>
  <si>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</si>
  <si>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</si>
  <si>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</si>
  <si>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</si>
  <si>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</si>
  <si>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</si>
  <si>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</si>
  <si>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</si>
  <si>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</si>
  <si>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</si>
  <si>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</si>
  <si>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</si>
  <si>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</si>
  <si>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</si>
  <si>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</si>
  <si>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</si>
  <si>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</si>
  <si>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</si>
  <si>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</si>
  <si>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</si>
  <si>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</si>
  <si>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</si>
  <si>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</si>
  <si>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</si>
  <si>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</si>
  <si>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</si>
  <si>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</si>
  <si>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</si>
  <si>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</si>
  <si>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</si>
  <si>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</si>
  <si>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</si>
  <si>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</si>
  <si>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</si>
  <si>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</si>
  <si>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</si>
  <si>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</si>
  <si>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</si>
  <si>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</si>
  <si>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</si>
  <si>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</si>
  <si>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</si>
  <si>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</si>
  <si>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</si>
  <si>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</si>
  <si>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</si>
  <si>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</si>
  <si>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</si>
  <si>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</si>
  <si>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</si>
  <si>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</si>
  <si>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</si>
  <si>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</si>
  <si>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</si>
  <si>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</si>
  <si>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</si>
  <si>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</si>
  <si>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</si>
  <si>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</si>
  <si>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</si>
  <si>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</si>
  <si>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</si>
  <si>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</si>
  <si>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</si>
  <si>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</si>
  <si>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</si>
  <si>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</si>
  <si>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</si>
  <si>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</si>
  <si>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</si>
  <si>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</si>
  <si>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</si>
  <si>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</si>
  <si>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</si>
  <si>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</si>
  <si>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</si>
  <si>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</si>
  <si>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</si>
  <si>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</si>
  <si>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</si>
  <si>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</si>
  <si>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</si>
  <si>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</si>
  <si>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</si>
  <si>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</si>
  <si>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</si>
  <si>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</si>
  <si>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</si>
  <si>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</si>
  <si>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</si>
  <si>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</si>
  <si>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</si>
  <si>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</si>
  <si>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</si>
  <si>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</si>
  <si>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</si>
  <si>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</si>
  <si>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</si>
  <si>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</si>
  <si>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</si>
  <si>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</si>
  <si>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</si>
  <si>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</si>
  <si>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</si>
  <si>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</si>
  <si>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</si>
  <si>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</si>
  <si>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</si>
  <si>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</si>
  <si>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</si>
  <si>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</si>
  <si>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</si>
  <si>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</si>
  <si>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</si>
  <si>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</si>
  <si>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</si>
  <si>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</si>
  <si>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</si>
  <si>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</si>
  <si>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</si>
  <si>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</si>
  <si>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</si>
  <si>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</si>
  <si>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</si>
  <si>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</si>
  <si>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</si>
  <si>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</si>
  <si>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</si>
  <si>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</si>
  <si>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</si>
  <si>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</si>
  <si>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</si>
  <si>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</si>
  <si>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</si>
  <si>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</si>
  <si>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</si>
  <si>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</si>
  <si>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</si>
  <si>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</si>
  <si>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</si>
  <si>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</si>
  <si>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</si>
  <si>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</si>
  <si>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</si>
  <si>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</si>
  <si>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</si>
  <si>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</si>
  <si>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</si>
  <si>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</si>
  <si>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</si>
  <si>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</si>
  <si>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</si>
  <si>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</si>
  <si>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</si>
  <si>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</si>
  <si>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</si>
  <si>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</si>
  <si>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</si>
  <si>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</si>
  <si>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</si>
  <si>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</si>
  <si>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</si>
  <si>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</si>
  <si>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</si>
  <si>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</si>
  <si>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</si>
  <si>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</si>
  <si>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</si>
  <si>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</si>
  <si>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</si>
  <si>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</si>
  <si>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</si>
  <si>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</si>
  <si>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</si>
  <si>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</si>
  <si>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</si>
  <si>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</si>
  <si>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</si>
  <si>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</si>
  <si>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</si>
  <si>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</si>
  <si>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</si>
  <si>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</si>
  <si>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</si>
  <si>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</si>
  <si>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</si>
  <si>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</si>
  <si>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</si>
  <si>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</si>
  <si>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</si>
  <si>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</si>
  <si>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</si>
  <si>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</si>
  <si>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</si>
  <si>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</si>
  <si>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</si>
  <si>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</si>
  <si>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</si>
  <si>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</si>
  <si>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</si>
  <si>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</si>
  <si>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</si>
  <si>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</si>
  <si>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</si>
  <si>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</si>
  <si>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</si>
  <si>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</si>
  <si>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</si>
  <si>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</si>
  <si>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</si>
  <si>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</si>
  <si>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</si>
  <si>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</si>
  <si>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</si>
  <si>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</si>
  <si>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</si>
  <si>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</si>
  <si>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</si>
  <si>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</si>
  <si>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</si>
  <si>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</si>
  <si>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</si>
  <si>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</si>
  <si>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</si>
  <si>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</si>
  <si>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</si>
  <si>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</si>
  <si>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</si>
  <si>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</si>
  <si>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</si>
  <si>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</si>
  <si>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</si>
  <si>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</si>
  <si>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</si>
  <si>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</si>
  <si>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</si>
  <si>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</si>
  <si>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</si>
  <si>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</si>
  <si>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</si>
  <si>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</si>
  <si>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</si>
  <si>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</si>
  <si>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</si>
  <si>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</si>
  <si>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</si>
  <si>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</si>
  <si>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</si>
  <si>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</si>
  <si>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</si>
  <si>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</si>
  <si>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</si>
  <si>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</si>
  <si>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</si>
  <si>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</si>
  <si>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</si>
  <si>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</si>
  <si>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</si>
  <si>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</si>
  <si>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</si>
  <si>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</si>
  <si>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</si>
  <si>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</si>
  <si>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</si>
  <si>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</si>
  <si>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</si>
  <si>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</si>
  <si>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</si>
  <si>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</si>
  <si>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</si>
  <si>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</si>
  <si>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</si>
  <si>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</si>
  <si>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</si>
  <si>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</si>
  <si>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</si>
  <si>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</si>
  <si>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</si>
  <si>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</si>
  <si>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</si>
  <si>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</si>
  <si>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</si>
  <si>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</si>
  <si>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</si>
  <si>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</si>
  <si>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</si>
  <si>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</si>
  <si>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</si>
  <si>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</si>
  <si>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</si>
  <si>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</si>
  <si>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</si>
  <si>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</si>
  <si>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</si>
  <si>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</si>
  <si>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</si>
  <si>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</si>
  <si>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</si>
  <si>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</si>
  <si>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</si>
  <si>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</si>
  <si>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</si>
  <si>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</si>
  <si>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</si>
  <si>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</si>
  <si>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</si>
  <si>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</si>
  <si>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</si>
  <si>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</si>
  <si>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</si>
  <si>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</si>
  <si>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</si>
  <si>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</si>
  <si>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</si>
  <si>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</si>
  <si>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</si>
  <si>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</si>
  <si>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</si>
  <si>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</si>
  <si>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</si>
  <si>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</si>
  <si>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</si>
  <si>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</si>
  <si>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</si>
  <si>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</si>
  <si>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</si>
  <si>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</si>
  <si>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</si>
  <si>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</si>
  <si>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</si>
  <si>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</si>
  <si>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</si>
  <si>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</si>
  <si>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</si>
  <si>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</si>
  <si>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</si>
  <si>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</si>
  <si>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</si>
  <si>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</si>
  <si>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</si>
  <si>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</si>
  <si>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</si>
  <si>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</si>
  <si>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</si>
  <si>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</si>
  <si>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</si>
  <si>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</si>
  <si>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</si>
  <si>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</si>
  <si>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</si>
  <si>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</si>
  <si>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</si>
  <si>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</si>
  <si>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</si>
  <si>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</si>
  <si>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</si>
  <si>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</si>
  <si>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</si>
  <si>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</si>
  <si>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</si>
  <si>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</si>
  <si>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</si>
  <si>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</si>
  <si>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</si>
  <si>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</si>
  <si>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</si>
  <si>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</si>
  <si>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</si>
  <si>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</si>
  <si>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</si>
  <si>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</si>
  <si>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</si>
  <si>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</si>
  <si>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</si>
  <si>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</si>
  <si>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</si>
  <si>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</si>
  <si>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</si>
  <si>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</si>
  <si>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</si>
  <si>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</si>
  <si>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</si>
  <si>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</si>
  <si>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</si>
  <si>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</si>
  <si>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</si>
  <si>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</si>
  <si>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</si>
  <si>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</si>
  <si>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</si>
  <si>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</si>
  <si>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</si>
  <si>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</si>
  <si>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</si>
  <si>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</si>
  <si>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</si>
  <si>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</si>
  <si>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</si>
  <si>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</si>
  <si>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</si>
  <si>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</si>
  <si>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</si>
  <si>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</si>
  <si>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</si>
  <si>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</si>
  <si>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</si>
  <si>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</si>
  <si>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</si>
  <si>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</si>
  <si>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</si>
  <si>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</si>
  <si>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</si>
  <si>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</si>
  <si>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</si>
  <si>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</si>
  <si>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</si>
  <si>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</si>
  <si>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</si>
  <si>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</si>
  <si>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</si>
  <si>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</si>
  <si>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</si>
  <si>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</si>
  <si>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</si>
  <si>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</si>
  <si>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</si>
  <si>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</si>
  <si>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</si>
  <si>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</si>
  <si>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</si>
  <si>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</si>
  <si>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</si>
  <si>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</si>
  <si>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</si>
  <si>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</si>
  <si>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</si>
  <si>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</si>
  <si>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</si>
  <si>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</si>
  <si>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</si>
  <si>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</si>
  <si>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</si>
  <si>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</si>
  <si>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</si>
  <si>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</si>
  <si>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</si>
  <si>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</si>
  <si>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</si>
  <si>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</si>
  <si>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</si>
  <si>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</si>
  <si>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</si>
  <si>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</si>
  <si>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</si>
  <si>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</si>
  <si>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</si>
  <si>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</si>
  <si>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</si>
  <si>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</si>
  <si>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</si>
  <si>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</si>
  <si>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</si>
  <si>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</si>
  <si>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</si>
  <si>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</si>
  <si>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</si>
  <si>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</si>
  <si>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</si>
  <si>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</si>
  <si>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</si>
  <si>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</si>
  <si>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</si>
  <si>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</si>
  <si>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</si>
  <si>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</si>
  <si>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</si>
  <si>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</si>
  <si>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</si>
  <si>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</si>
  <si>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</si>
  <si>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</si>
  <si>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</si>
  <si>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</si>
  <si>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</si>
  <si>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</si>
  <si>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</si>
  <si>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</si>
  <si>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</si>
  <si>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</si>
  <si>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</si>
  <si>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</si>
  <si>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</si>
  <si>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</si>
  <si>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</si>
  <si>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</si>
  <si>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</si>
  <si>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</si>
  <si>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</si>
  <si>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</si>
  <si>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</si>
  <si>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</si>
  <si>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</si>
  <si>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</si>
  <si>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</si>
  <si>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</si>
  <si>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</si>
  <si>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</si>
  <si>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</si>
  <si>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</si>
  <si>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</si>
  <si>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</si>
  <si>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</si>
  <si>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</si>
  <si>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</si>
  <si>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</si>
  <si>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</si>
  <si>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</si>
  <si>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</si>
  <si>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</si>
  <si>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</si>
  <si>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</si>
  <si>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</si>
  <si>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</si>
  <si>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</si>
  <si>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</si>
  <si>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</si>
  <si>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</si>
  <si>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</si>
  <si>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</si>
  <si>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</si>
  <si>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</si>
  <si>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</si>
  <si>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</si>
  <si>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</si>
  <si>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</si>
  <si>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</si>
  <si>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</si>
  <si>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</si>
  <si>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</si>
  <si>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</si>
  <si>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</si>
  <si>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</si>
  <si>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</si>
  <si>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</si>
  <si>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</si>
  <si>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</si>
  <si>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</si>
  <si>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</si>
  <si>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</si>
  <si>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</si>
  <si>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</si>
  <si>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</si>
  <si>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</si>
  <si>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</si>
  <si>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</si>
  <si>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</si>
  <si>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</si>
  <si>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</si>
  <si>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</si>
  <si>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</si>
  <si>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</si>
  <si>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</si>
  <si>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</si>
  <si>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</si>
  <si>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</si>
  <si>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</si>
  <si>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</si>
  <si>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</si>
  <si>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</si>
  <si>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</si>
  <si>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</si>
  <si>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</si>
  <si>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</si>
  <si>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</si>
  <si>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</si>
  <si>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</si>
  <si>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</si>
  <si>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</si>
  <si>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</si>
  <si>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</si>
  <si>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</si>
  <si>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</si>
  <si>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</si>
  <si>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</si>
  <si>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</si>
  <si>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</si>
  <si>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</si>
  <si>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</si>
  <si>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</si>
  <si>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</si>
  <si>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</si>
  <si>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</si>
  <si>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</si>
  <si>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</si>
  <si>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</si>
  <si>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</si>
  <si>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</si>
  <si>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</si>
  <si>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</si>
  <si>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</si>
  <si>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</si>
  <si>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</si>
  <si>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</si>
  <si>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</si>
  <si>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</si>
  <si>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</si>
  <si>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</si>
  <si>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</si>
  <si>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</si>
  <si>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</si>
  <si>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</si>
  <si>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</si>
  <si>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</si>
  <si>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</si>
  <si>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</si>
  <si>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</si>
  <si>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</si>
  <si>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</si>
  <si>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</si>
  <si>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</si>
  <si>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</si>
  <si>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</si>
  <si>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</si>
  <si>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</si>
  <si>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</si>
  <si>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</si>
  <si>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</si>
  <si>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</si>
  <si>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</si>
  <si>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</si>
  <si>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</si>
  <si>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</si>
  <si>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</si>
  <si>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</si>
  <si>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</si>
  <si>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</si>
  <si>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</si>
  <si>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</si>
  <si>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</si>
  <si>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</si>
  <si>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</si>
  <si>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</si>
  <si>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</si>
  <si>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</si>
  <si>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</si>
  <si>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</si>
  <si>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</si>
  <si>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</si>
  <si>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</si>
  <si>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</si>
  <si>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</si>
  <si>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</si>
  <si>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</si>
  <si>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</si>
  <si>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</si>
  <si>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</si>
  <si>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</si>
  <si>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</si>
  <si>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</si>
  <si>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</si>
  <si>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</si>
  <si>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</si>
  <si>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</si>
  <si>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</si>
  <si>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</si>
  <si>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</si>
  <si>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</si>
  <si>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</si>
  <si>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</si>
  <si>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</si>
  <si>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</si>
  <si>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</si>
  <si>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</si>
  <si>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</si>
  <si>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</si>
  <si>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</si>
  <si>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</si>
  <si>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</si>
  <si>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</si>
  <si>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</si>
  <si>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</si>
  <si>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</si>
  <si>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</si>
  <si>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</si>
  <si>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</si>
  <si>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</si>
  <si>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</si>
  <si>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</si>
  <si>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</si>
  <si>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</si>
  <si>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</si>
  <si>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</si>
  <si>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</si>
  <si>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</si>
  <si>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</si>
  <si>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</si>
  <si>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</si>
  <si>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</si>
  <si>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</si>
  <si>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</si>
  <si>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</si>
  <si>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</si>
  <si>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</si>
  <si>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</si>
  <si>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</si>
  <si>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</si>
  <si>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</si>
  <si>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</si>
  <si>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</si>
  <si>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</si>
  <si>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</si>
  <si>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</si>
  <si>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</si>
  <si>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</si>
  <si>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</si>
  <si>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</si>
  <si>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</si>
  <si>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</si>
  <si>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</si>
  <si>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</si>
  <si>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</si>
  <si>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</si>
  <si>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</si>
  <si>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</si>
  <si>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</si>
  <si>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</si>
  <si>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</si>
  <si>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</si>
  <si>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</si>
  <si>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</si>
  <si>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</si>
  <si>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</si>
  <si>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</si>
  <si>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</si>
  <si>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</si>
  <si>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</si>
  <si>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</si>
  <si>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</si>
  <si>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</si>
  <si>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</si>
  <si>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</si>
  <si>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</si>
  <si>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</si>
  <si>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</si>
  <si>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</si>
  <si>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</si>
  <si>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</si>
  <si>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</si>
  <si>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</si>
  <si>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</si>
  <si>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</si>
  <si>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</si>
  <si>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</si>
  <si>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</si>
  <si>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</si>
  <si>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</si>
  <si>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</si>
  <si>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</si>
  <si>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</si>
  <si>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</si>
  <si>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</si>
  <si>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</si>
  <si>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</si>
  <si>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</si>
  <si>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</si>
  <si>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</si>
  <si>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</si>
  <si>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</si>
  <si>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</si>
  <si>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</si>
  <si>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</si>
  <si>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</si>
  <si>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</si>
  <si>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</si>
  <si>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</si>
  <si>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</si>
  <si>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</si>
  <si>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</si>
  <si>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</si>
  <si>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</si>
  <si>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</si>
  <si>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</si>
  <si>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</si>
  <si>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</si>
  <si>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</si>
  <si>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</si>
  <si>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</si>
  <si>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</si>
  <si>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</si>
  <si>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</si>
  <si>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</si>
  <si>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</si>
  <si>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</si>
  <si>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</si>
  <si>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</si>
  <si>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</si>
  <si>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</si>
  <si>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</si>
  <si>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</si>
  <si>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</si>
  <si>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</si>
  <si>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</si>
  <si>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</si>
  <si>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</si>
  <si>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</si>
  <si>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</si>
  <si>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</si>
  <si>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</si>
  <si>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</si>
  <si>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</si>
  <si>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</si>
  <si>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</si>
  <si>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</si>
  <si>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</si>
  <si>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</si>
  <si>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</si>
  <si>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</si>
  <si>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</si>
  <si>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</si>
  <si>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</si>
  <si>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</si>
  <si>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</si>
  <si>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</si>
  <si>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</si>
  <si>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</si>
  <si>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</si>
  <si>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</si>
  <si>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</si>
  <si>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</si>
  <si>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</si>
  <si>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</si>
  <si>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</si>
  <si>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</si>
  <si>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</si>
  <si>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</si>
  <si>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</si>
  <si>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</si>
  <si>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</si>
  <si>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</si>
  <si>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</si>
  <si>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</si>
  <si>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</si>
  <si>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</si>
  <si>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</si>
  <si>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</si>
  <si>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</si>
  <si>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</si>
  <si>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</si>
  <si>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</si>
  <si>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</si>
  <si>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</si>
  <si>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</si>
  <si>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</si>
  <si>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</si>
  <si>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</si>
  <si>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</si>
  <si>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</si>
  <si>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</si>
  <si>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</si>
  <si>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</si>
  <si>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</si>
  <si>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</si>
  <si>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</si>
  <si>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</si>
  <si>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</si>
  <si>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</si>
  <si>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</si>
  <si>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</si>
  <si>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</si>
  <si>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</si>
  <si>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</si>
  <si>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</si>
  <si>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</si>
  <si>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</si>
  <si>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</si>
  <si>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</si>
  <si>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</si>
  <si>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</si>
  <si>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</si>
  <si>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</si>
  <si>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</si>
  <si>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</si>
  <si>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</si>
  <si>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</si>
  <si>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</si>
  <si>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</si>
  <si>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</si>
  <si>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</si>
  <si>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</si>
  <si>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</si>
  <si>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</si>
  <si>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</si>
  <si>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</si>
  <si>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</si>
  <si>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</si>
  <si>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</si>
  <si>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</si>
  <si>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</si>
  <si>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</si>
  <si>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</si>
  <si>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</si>
  <si>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</si>
  <si>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</si>
  <si>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</si>
  <si>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</si>
  <si>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</si>
  <si>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</si>
  <si>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</si>
  <si>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</si>
  <si>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</si>
  <si>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</si>
  <si>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</si>
  <si>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</si>
  <si>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</si>
  <si>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</si>
  <si>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</si>
  <si>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</si>
  <si>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</si>
  <si>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</si>
  <si>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</si>
  <si>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</si>
  <si>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</si>
  <si>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</si>
  <si>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</si>
  <si>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</si>
  <si>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</si>
  <si>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</si>
  <si>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</si>
  <si>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</si>
  <si>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</si>
  <si>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</si>
  <si>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</si>
  <si>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</si>
  <si>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</si>
  <si>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</si>
  <si>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</si>
  <si>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</si>
  <si>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</si>
  <si>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</si>
  <si>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</si>
  <si>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</si>
  <si>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</si>
  <si>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</si>
  <si>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</si>
  <si>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</si>
  <si>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</si>
  <si>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</si>
  <si>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</si>
  <si>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</si>
  <si>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</si>
  <si>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</si>
  <si>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</si>
  <si>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</si>
  <si>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</si>
  <si>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</si>
  <si>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</si>
  <si>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</si>
  <si>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</si>
  <si>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</si>
  <si>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</si>
  <si>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</si>
  <si>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</si>
  <si>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</si>
  <si>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</si>
  <si>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</si>
  <si>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</si>
  <si>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</si>
  <si>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</si>
  <si>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</si>
  <si>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</si>
  <si>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</si>
  <si>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</si>
  <si>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</si>
  <si>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</si>
  <si>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</si>
  <si>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</si>
  <si>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</si>
  <si>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</si>
  <si>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</si>
  <si>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</si>
  <si>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</si>
  <si>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</si>
  <si>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</si>
  <si>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</si>
  <si>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</si>
  <si>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</si>
  <si>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</si>
  <si>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</si>
  <si>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</si>
  <si>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</si>
  <si>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</si>
  <si>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</si>
  <si>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</si>
  <si>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</si>
  <si>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</si>
  <si>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</si>
  <si>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</si>
  <si>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</si>
  <si>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</si>
  <si>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</si>
  <si>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</si>
  <si>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</si>
  <si>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</si>
  <si>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</si>
  <si>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</si>
  <si>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</si>
  <si>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</si>
  <si>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</si>
  <si>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</si>
  <si>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</si>
  <si>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</si>
  <si>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</si>
  <si>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</si>
  <si>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</si>
  <si>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</si>
  <si>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</si>
  <si>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</si>
  <si>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</si>
  <si>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</si>
  <si>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</si>
  <si>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</si>
  <si>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</si>
  <si>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</si>
  <si>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</si>
  <si>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</si>
  <si>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</si>
  <si>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</si>
  <si>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</si>
  <si>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</si>
  <si>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</si>
  <si>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</si>
  <si>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</si>
  <si>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</si>
  <si>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</si>
  <si>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</si>
  <si>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</si>
  <si>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</si>
  <si>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</si>
  <si>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</si>
  <si>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</si>
  <si>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</si>
  <si>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</si>
  <si>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</si>
  <si>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</si>
  <si>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</si>
  <si>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</si>
  <si>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</si>
  <si>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</si>
  <si>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</si>
  <si>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</si>
  <si>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</si>
  <si>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</si>
  <si>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</si>
  <si>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</si>
  <si>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</si>
  <si>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</si>
  <si>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</si>
  <si>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</si>
  <si>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</si>
  <si>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</si>
  <si>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</si>
  <si>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</si>
  <si>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</si>
  <si>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</si>
  <si>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</si>
  <si>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</si>
  <si>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</si>
  <si>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</si>
  <si>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</si>
  <si>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</si>
  <si>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</si>
  <si>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</si>
  <si>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</si>
  <si>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</si>
  <si>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</si>
  <si>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</si>
  <si>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</si>
  <si>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</si>
  <si>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</si>
  <si>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</si>
  <si>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</si>
  <si>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</si>
  <si>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</si>
  <si>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</si>
  <si>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</si>
  <si>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</si>
  <si>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</si>
  <si>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</si>
  <si>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</si>
  <si>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</si>
  <si>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</si>
  <si>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</si>
  <si>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</si>
  <si>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</si>
  <si>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</si>
  <si>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</si>
  <si>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</si>
  <si>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</si>
  <si>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</si>
  <si>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</si>
  <si>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</si>
  <si>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</si>
  <si>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</si>
  <si>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</si>
  <si>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</si>
  <si>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</si>
  <si>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</si>
  <si>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</si>
  <si>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</si>
  <si>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</si>
  <si>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</si>
  <si>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</si>
  <si>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</si>
  <si>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</si>
  <si>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</si>
  <si>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</si>
  <si>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</si>
  <si>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</si>
  <si>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</si>
  <si>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</si>
  <si>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</si>
  <si>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</si>
  <si>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</si>
  <si>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</si>
  <si>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</si>
  <si>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</si>
  <si>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</si>
  <si>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</si>
  <si>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</si>
  <si>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</si>
  <si>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</si>
  <si>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</si>
  <si>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</si>
  <si>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</si>
  <si>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</si>
  <si>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</si>
  <si>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</si>
  <si>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</si>
  <si>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</si>
  <si>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</si>
  <si>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</si>
  <si>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</si>
  <si>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</si>
  <si>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</si>
  <si>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</si>
  <si>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</si>
  <si>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</si>
  <si>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</si>
  <si>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</si>
  <si>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</si>
  <si>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</si>
  <si>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</si>
  <si>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</si>
  <si>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</si>
  <si>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</si>
  <si>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</si>
  <si>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</si>
  <si>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</si>
  <si>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</si>
  <si>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</si>
  <si>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</si>
  <si>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</si>
  <si>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</si>
  <si>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</si>
  <si>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</si>
  <si>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</si>
  <si>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</si>
  <si>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</si>
  <si>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</si>
  <si>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</si>
  <si>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</si>
  <si>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</si>
  <si>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</si>
  <si>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</si>
  <si>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</si>
  <si>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</si>
  <si>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</si>
  <si>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</si>
  <si>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</si>
  <si>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</si>
  <si>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</si>
  <si>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</si>
  <si>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</si>
  <si>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</si>
  <si>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</si>
  <si>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</si>
  <si>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</si>
  <si>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</si>
  <si>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</si>
  <si>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</si>
  <si>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</si>
  <si>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</si>
  <si>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</si>
  <si>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</si>
  <si>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</si>
  <si>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</si>
  <si>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</si>
  <si>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</si>
  <si>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</si>
  <si>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</si>
  <si>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</si>
  <si>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</si>
  <si>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</si>
  <si>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</si>
  <si>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</si>
  <si>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</si>
  <si>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</si>
  <si>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</si>
  <si>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</si>
  <si>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</si>
  <si>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</si>
  <si>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</si>
  <si>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</si>
  <si>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</si>
  <si>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</si>
  <si>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</si>
  <si>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</si>
  <si>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</si>
  <si>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</si>
  <si>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</si>
  <si>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</si>
  <si>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</si>
  <si>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</si>
  <si>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</si>
  <si>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</si>
  <si>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</si>
  <si>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</si>
  <si>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</si>
  <si>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</si>
  <si>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</si>
  <si>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</si>
  <si>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</si>
  <si>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</si>
  <si>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</si>
  <si>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</si>
  <si>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</si>
  <si>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</si>
  <si>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</si>
  <si>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</si>
  <si>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</si>
  <si>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</si>
  <si>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</si>
  <si>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</si>
  <si>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</si>
  <si>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</si>
  <si>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</si>
  <si>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</si>
  <si>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</si>
  <si>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</si>
  <si>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</si>
  <si>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</si>
  <si>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</si>
  <si>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</si>
  <si>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</si>
  <si>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</si>
  <si>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</si>
  <si>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</si>
  <si>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</si>
  <si>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</si>
  <si>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</si>
  <si>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</si>
  <si>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</si>
  <si>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</si>
  <si>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</si>
  <si>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</si>
  <si>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</si>
  <si>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</si>
  <si>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</si>
  <si>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</si>
  <si>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</si>
  <si>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</si>
  <si>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</si>
  <si>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</si>
  <si>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</si>
  <si>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</si>
  <si>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</si>
  <si>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</si>
  <si>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</si>
  <si>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</si>
  <si>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</si>
  <si>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</si>
  <si>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</si>
  <si>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</si>
  <si>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</si>
  <si>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</si>
  <si>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</si>
  <si>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</si>
  <si>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</si>
  <si>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</si>
  <si>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</si>
  <si>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</si>
  <si>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</si>
  <si>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</si>
  <si>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</si>
  <si>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</si>
  <si>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</si>
  <si>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</si>
  <si>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</si>
  <si>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</si>
  <si>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</si>
  <si>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</si>
  <si>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</si>
  <si>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</si>
  <si>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</si>
  <si>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</si>
  <si>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</si>
  <si>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</si>
  <si>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</si>
  <si>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</si>
  <si>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</si>
  <si>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</si>
  <si>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</si>
  <si>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</si>
  <si>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</si>
  <si>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</si>
  <si>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</si>
  <si>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</si>
  <si>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</si>
  <si>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</si>
  <si>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</si>
  <si>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</si>
  <si>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</si>
  <si>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</si>
  <si>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</si>
  <si>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</si>
  <si>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</si>
  <si>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</si>
  <si>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</si>
  <si>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</si>
  <si>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</si>
  <si>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</si>
  <si>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</si>
  <si>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</si>
  <si>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</si>
  <si>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</si>
  <si>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</si>
  <si>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</si>
  <si>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</si>
  <si>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</si>
  <si>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</si>
  <si>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</si>
  <si>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</si>
  <si>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</si>
  <si>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</si>
  <si>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</si>
  <si>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</si>
  <si>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</si>
  <si>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</si>
  <si>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</si>
  <si>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</si>
  <si>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</si>
  <si>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</si>
  <si>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</si>
  <si>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</si>
  <si>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</si>
  <si>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</si>
  <si>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</si>
  <si>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</si>
  <si>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</si>
  <si>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</si>
  <si>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</si>
  <si>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</si>
  <si>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</si>
  <si>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</si>
  <si>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</si>
  <si>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</si>
  <si>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</si>
  <si>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</si>
  <si>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</si>
  <si>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</si>
  <si>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</si>
  <si>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</si>
  <si>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</si>
  <si>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</si>
  <si>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</si>
  <si>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</si>
  <si>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</si>
  <si>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</si>
  <si>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</si>
  <si>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</si>
  <si>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</si>
  <si>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</si>
  <si>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</si>
  <si>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</si>
  <si>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</si>
  <si>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</si>
  <si>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</si>
  <si>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</si>
  <si>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</si>
  <si>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</si>
  <si>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</si>
  <si>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</si>
  <si>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</si>
  <si>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</si>
  <si>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</si>
  <si>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</si>
  <si>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</si>
  <si>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</si>
  <si>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</si>
  <si>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</si>
  <si>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</si>
  <si>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</si>
  <si>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</si>
  <si>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</si>
  <si>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</si>
  <si>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</si>
  <si>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</si>
  <si>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</si>
  <si>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</si>
  <si>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</si>
  <si>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</si>
  <si>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</si>
  <si>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</si>
  <si>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</si>
  <si>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</si>
  <si>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</si>
  <si>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</si>
  <si>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</si>
  <si>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</si>
  <si>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</si>
  <si>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</si>
  <si>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</si>
  <si>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</si>
  <si>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</si>
  <si>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</si>
  <si>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</si>
  <si>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</si>
  <si>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</si>
  <si>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</si>
  <si>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</si>
  <si>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</si>
  <si>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</si>
  <si>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</si>
  <si>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</si>
  <si>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</si>
  <si>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</si>
  <si>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</si>
  <si>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</si>
  <si>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</si>
  <si>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</si>
  <si>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</si>
  <si>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</si>
  <si>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</si>
  <si>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</si>
  <si>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</si>
  <si>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</si>
  <si>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</si>
  <si>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</si>
  <si>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</si>
  <si>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</si>
  <si>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</si>
  <si>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</si>
  <si>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</si>
  <si>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</si>
  <si>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</si>
  <si>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</si>
  <si>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</si>
  <si>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</si>
  <si>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</si>
  <si>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</si>
  <si>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</si>
  <si>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</si>
  <si>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</si>
  <si>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</si>
  <si>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</si>
  <si>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</si>
  <si>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</si>
  <si>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</si>
  <si>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</si>
  <si>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</si>
  <si>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</si>
  <si>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</si>
  <si>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</si>
  <si>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</si>
  <si>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</si>
  <si>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</si>
  <si>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</si>
  <si>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</si>
  <si>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</si>
  <si>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</si>
  <si>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</si>
  <si>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</si>
  <si>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</si>
  <si>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</si>
  <si>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</si>
  <si>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</si>
  <si>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</si>
  <si>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</si>
  <si>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</si>
  <si>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</si>
  <si>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</si>
  <si>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</si>
  <si>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</si>
  <si>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</si>
  <si>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</si>
  <si>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</si>
  <si>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</si>
  <si>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</si>
  <si>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</si>
  <si>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</si>
  <si>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</si>
  <si>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</si>
  <si>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</si>
  <si>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</si>
  <si>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</si>
  <si>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</si>
  <si>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</si>
  <si>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</si>
  <si>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</si>
  <si>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</si>
  <si>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</si>
  <si>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</si>
  <si>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</si>
  <si>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</si>
  <si>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</si>
  <si>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</si>
  <si>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</si>
  <si>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</si>
  <si>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</si>
  <si>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</si>
  <si>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</si>
  <si>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</si>
  <si>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</si>
  <si>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</si>
  <si>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</si>
  <si>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</si>
  <si>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</si>
  <si>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</si>
  <si>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</si>
  <si>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</si>
  <si>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</si>
  <si>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</si>
  <si>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</si>
  <si>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</si>
  <si>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</si>
  <si>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</si>
  <si>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</si>
  <si>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</si>
  <si>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</si>
  <si>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</si>
  <si>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</si>
  <si>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</si>
  <si>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</si>
  <si>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</si>
  <si>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</si>
  <si>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</si>
  <si>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</si>
  <si>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</si>
  <si>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</si>
  <si>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</si>
  <si>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</si>
  <si>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</si>
  <si>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</si>
  <si>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</si>
  <si>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</si>
  <si>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</si>
  <si>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</si>
  <si>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</si>
  <si>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</si>
  <si>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</si>
  <si>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</si>
  <si>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</si>
  <si>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</si>
  <si>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</si>
  <si>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</si>
  <si>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</si>
  <si>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</si>
  <si>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</si>
  <si>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</si>
  <si>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</si>
  <si>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</si>
  <si>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</si>
  <si>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</si>
  <si>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</si>
  <si>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</si>
  <si>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</si>
  <si>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</si>
  <si>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</si>
  <si>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</si>
  <si>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</si>
  <si>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</si>
  <si>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</si>
  <si>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</si>
  <si>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</si>
  <si>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</si>
  <si>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</si>
  <si>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</si>
  <si>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</si>
  <si>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</si>
  <si>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</si>
  <si>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</si>
  <si>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</si>
  <si>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</si>
  <si>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</si>
  <si>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</si>
  <si>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</si>
  <si>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</si>
  <si>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</si>
  <si>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</si>
  <si>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</si>
  <si>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</si>
  <si>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</si>
  <si>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</si>
  <si>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</si>
  <si>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</si>
  <si>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</si>
  <si>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</si>
  <si>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</si>
  <si>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</si>
  <si>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</si>
  <si>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</si>
  <si>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</si>
  <si>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</si>
  <si>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</si>
  <si>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</si>
  <si>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</si>
  <si>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</si>
  <si>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</si>
  <si>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</si>
  <si>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</si>
  <si>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</si>
  <si>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</si>
  <si>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</si>
  <si>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</si>
  <si>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</si>
  <si>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</si>
  <si>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</si>
  <si>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</si>
  <si>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</si>
  <si>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</si>
  <si>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</si>
  <si>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</si>
  <si>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</si>
  <si>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</si>
  <si>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</si>
  <si>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</si>
  <si>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</si>
  <si>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</si>
  <si>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</si>
  <si>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</si>
  <si>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</si>
  <si>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</si>
  <si>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</si>
  <si>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</si>
  <si>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</si>
  <si>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</si>
  <si>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</si>
  <si>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</si>
  <si>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</si>
  <si>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</si>
  <si>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</si>
  <si>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</si>
  <si>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</si>
  <si>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</si>
  <si>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</si>
  <si>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</si>
  <si>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</si>
  <si>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</si>
  <si>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</si>
  <si>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</si>
  <si>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</si>
  <si>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</si>
  <si>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</si>
  <si>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</si>
  <si>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</si>
  <si>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</si>
  <si>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</si>
  <si>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</si>
  <si>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</si>
  <si>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</si>
  <si>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</si>
  <si>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</si>
  <si>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</si>
  <si>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</si>
  <si>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</si>
  <si>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</si>
  <si>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</si>
  <si>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</si>
  <si>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</si>
  <si>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</si>
  <si>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</si>
  <si>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</si>
  <si>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</si>
  <si>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</si>
  <si>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</si>
  <si>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</si>
  <si>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</si>
  <si>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</si>
  <si>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</si>
  <si>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</si>
  <si>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</si>
  <si>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</si>
  <si>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</si>
  <si>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</si>
  <si>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</si>
  <si>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</si>
  <si>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</si>
  <si>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</si>
  <si>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</si>
  <si>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</si>
  <si>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</si>
  <si>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</si>
  <si>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</si>
  <si>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</si>
  <si>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</si>
  <si>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</si>
  <si>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</si>
  <si>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</si>
  <si>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</si>
  <si>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</si>
  <si>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</si>
  <si>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</si>
  <si>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</si>
  <si>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</si>
  <si>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</si>
  <si>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</si>
  <si>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</si>
  <si>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</si>
  <si>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</si>
  <si>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</si>
  <si>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</si>
  <si>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</si>
  <si>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</si>
  <si>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</si>
  <si>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</si>
  <si>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</si>
  <si>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</si>
  <si>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</si>
  <si>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</si>
  <si>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</si>
  <si>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</si>
  <si>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</si>
  <si>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</si>
  <si>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</si>
  <si>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</si>
  <si>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</si>
  <si>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</si>
  <si>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</si>
  <si>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</si>
  <si>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</si>
  <si>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</si>
  <si>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</si>
  <si>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</si>
  <si>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</si>
  <si>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</si>
  <si>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</si>
  <si>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</si>
  <si>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</si>
  <si>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</si>
  <si>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</si>
  <si>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</si>
  <si>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</si>
  <si>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</si>
  <si>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</si>
  <si>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</si>
  <si>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</si>
  <si>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</si>
  <si>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</si>
  <si>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</si>
  <si>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</si>
  <si>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</si>
  <si>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</si>
  <si>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</si>
  <si>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</si>
  <si>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</si>
  <si>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</si>
  <si>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</si>
  <si>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</si>
  <si>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</si>
  <si>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</si>
  <si>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</si>
  <si>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</si>
  <si>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</si>
  <si>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</si>
  <si>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</si>
  <si>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</si>
  <si>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</si>
  <si>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</si>
  <si>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</si>
  <si>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</si>
  <si>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</si>
  <si>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</si>
  <si>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</si>
  <si>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</si>
  <si>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</si>
  <si>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</si>
  <si>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</si>
  <si>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</si>
  <si>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</si>
  <si>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</si>
  <si>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</si>
  <si>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</si>
  <si>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</si>
  <si>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</si>
  <si>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</si>
  <si>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</si>
  <si>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</si>
  <si>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</si>
  <si>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</si>
  <si>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</si>
  <si>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</si>
  <si>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</si>
  <si>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</si>
  <si>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</si>
  <si>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</si>
  <si>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</si>
  <si>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</si>
  <si>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</si>
  <si>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</si>
  <si>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</si>
  <si>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</si>
  <si>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</si>
  <si>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</si>
  <si>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</si>
  <si>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</si>
  <si>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</si>
  <si>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</si>
  <si>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</si>
  <si>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</si>
  <si>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</si>
  <si>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</si>
  <si>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</si>
  <si>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</si>
  <si>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</si>
  <si>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</si>
  <si>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</si>
  <si>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</si>
  <si>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</si>
  <si>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</si>
  <si>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</si>
  <si>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</si>
  <si>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</si>
  <si>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</si>
  <si>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</si>
  <si>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</si>
  <si>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</si>
  <si>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</si>
  <si>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</si>
  <si>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</si>
  <si>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</si>
  <si>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</si>
  <si>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</si>
  <si>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</si>
  <si>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</si>
  <si>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</si>
  <si>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</si>
  <si>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</si>
  <si>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</si>
  <si>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</si>
  <si>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</si>
  <si>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</si>
  <si>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</si>
  <si>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</si>
  <si>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</si>
  <si>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</si>
  <si>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</si>
  <si>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</si>
  <si>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</si>
  <si>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</si>
  <si>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</si>
  <si>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</si>
  <si>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</si>
  <si>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</si>
  <si>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</si>
  <si>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</si>
  <si>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</si>
  <si>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</si>
  <si>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</si>
  <si>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</si>
  <si>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</si>
  <si>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</si>
  <si>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</si>
  <si>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</si>
  <si>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</si>
  <si>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</si>
  <si>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</si>
  <si>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</si>
  <si>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</si>
  <si>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</si>
  <si>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</si>
  <si>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</si>
  <si>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</si>
  <si>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</si>
  <si>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</si>
  <si>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</si>
  <si>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</si>
  <si>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</si>
  <si>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</si>
  <si>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</si>
  <si>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</si>
  <si>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</si>
  <si>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</si>
  <si>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</si>
  <si>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</si>
  <si>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</si>
  <si>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</si>
  <si>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</si>
  <si>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</si>
  <si>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</si>
  <si>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</si>
  <si>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</si>
  <si>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</si>
  <si>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</si>
  <si>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</si>
  <si>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</si>
  <si>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</si>
  <si>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</si>
  <si>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</si>
  <si>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</si>
  <si>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</si>
  <si>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</si>
  <si>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</si>
  <si>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</si>
  <si>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</si>
  <si>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</si>
  <si>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</si>
  <si>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</si>
  <si>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</si>
  <si>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</si>
  <si>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</si>
  <si>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</si>
  <si>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</si>
  <si>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</si>
  <si>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</si>
  <si>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</si>
  <si>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</si>
  <si>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</si>
  <si>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</si>
  <si>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</si>
  <si>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</si>
  <si>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</si>
  <si>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</si>
  <si>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</si>
  <si>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</si>
  <si>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</si>
  <si>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</si>
  <si>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</si>
  <si>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</si>
  <si>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</si>
  <si>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</si>
  <si>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</si>
  <si>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</si>
  <si>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</si>
  <si>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</si>
  <si>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</si>
  <si>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</si>
  <si>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</si>
  <si>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</si>
  <si>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</si>
  <si>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</si>
  <si>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</si>
  <si>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</si>
  <si>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</si>
  <si>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</si>
  <si>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</si>
  <si>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</si>
  <si>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</si>
  <si>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</si>
  <si>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</si>
  <si>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</si>
  <si>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</si>
  <si>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</si>
  <si>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</si>
  <si>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</si>
  <si>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</si>
  <si>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</si>
  <si>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</si>
  <si>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</si>
  <si>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</si>
  <si>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</si>
  <si>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</si>
  <si>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</si>
  <si>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</si>
  <si>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</si>
  <si>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</si>
  <si>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</si>
  <si>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</si>
  <si>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</si>
  <si>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</si>
  <si>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</si>
  <si>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</si>
  <si>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</si>
  <si>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</si>
  <si>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</si>
  <si>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</si>
  <si>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</si>
  <si>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</si>
  <si>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</si>
  <si>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</si>
  <si>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</si>
  <si>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</si>
  <si>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</si>
  <si>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</si>
  <si>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</si>
  <si>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</si>
  <si>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</si>
  <si>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</si>
  <si>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</si>
  <si>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</si>
  <si>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</si>
  <si>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</si>
  <si>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</si>
  <si>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</si>
  <si>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</si>
  <si>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</si>
  <si>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</si>
  <si>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</si>
  <si>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</si>
  <si>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</si>
  <si>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</si>
  <si>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</si>
  <si>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</si>
  <si>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</si>
  <si>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</si>
  <si>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</si>
  <si>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</si>
  <si>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</si>
  <si>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</si>
  <si>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</si>
  <si>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</si>
  <si>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</si>
  <si>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</si>
  <si>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</si>
  <si>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</si>
  <si>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</si>
  <si>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</si>
  <si>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</si>
  <si>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</si>
  <si>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</si>
  <si>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</si>
  <si>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</si>
  <si>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</si>
  <si>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</si>
  <si>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</si>
  <si>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</si>
  <si>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</si>
  <si>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</si>
  <si>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</si>
  <si>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</si>
  <si>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</si>
  <si>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</si>
  <si>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</si>
  <si>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</si>
  <si>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</si>
  <si>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</si>
  <si>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</si>
  <si>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</si>
  <si>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</si>
  <si>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</si>
  <si>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</si>
  <si>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</si>
  <si>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</si>
  <si>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</si>
  <si>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</si>
  <si>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</si>
  <si>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</si>
  <si>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</si>
  <si>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</si>
  <si>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</si>
  <si>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</si>
  <si>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</si>
  <si>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</si>
  <si>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</si>
  <si>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</si>
  <si>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</si>
  <si>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</si>
  <si>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</si>
  <si>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</si>
  <si>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</si>
  <si>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</si>
  <si>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</si>
  <si>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</si>
  <si>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</si>
  <si>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</si>
  <si>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</si>
  <si>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</si>
  <si>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</si>
  <si>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</si>
  <si>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</si>
  <si>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</si>
  <si>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</si>
  <si>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</si>
  <si>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</si>
  <si>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</si>
  <si>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</si>
  <si>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</si>
  <si>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</si>
  <si>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</si>
  <si>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</si>
  <si>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</si>
  <si>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</si>
  <si>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</si>
  <si>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</si>
  <si>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</si>
  <si>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</si>
  <si>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</si>
  <si>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</si>
  <si>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</si>
  <si>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</si>
  <si>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</si>
  <si>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</si>
  <si>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</si>
  <si>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</si>
  <si>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</si>
  <si>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</si>
  <si>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</si>
  <si>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</si>
  <si>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</si>
  <si>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</si>
  <si>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</si>
  <si>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</si>
  <si>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</si>
  <si>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</si>
  <si>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</si>
  <si>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</si>
  <si>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</si>
  <si>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</si>
  <si>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</si>
  <si>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</si>
  <si>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</si>
  <si>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</si>
  <si>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</si>
  <si>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</si>
  <si>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</si>
  <si>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</si>
  <si>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</si>
  <si>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</si>
  <si>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</si>
  <si>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</si>
  <si>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</si>
  <si>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</si>
  <si>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</si>
  <si>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</si>
  <si>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</si>
  <si>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</si>
  <si>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</si>
  <si>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</si>
  <si>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</si>
  <si>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</si>
  <si>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</si>
  <si>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</si>
  <si>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</si>
  <si>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</si>
  <si>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</si>
  <si>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</si>
  <si>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</si>
  <si>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</si>
  <si>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</si>
  <si>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</si>
  <si>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</si>
  <si>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</si>
  <si>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</si>
  <si>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</si>
  <si>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</si>
  <si>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</si>
  <si>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</si>
  <si>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</si>
  <si>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</si>
  <si>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</si>
  <si>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</si>
  <si>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</si>
  <si>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</si>
  <si>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</si>
  <si>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</si>
  <si>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</si>
  <si>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</si>
  <si>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</si>
  <si>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</si>
  <si>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</si>
  <si>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</si>
  <si>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</si>
  <si>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</si>
  <si>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</si>
  <si>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</si>
  <si>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</si>
  <si>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</si>
  <si>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</si>
  <si>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</si>
  <si>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</si>
  <si>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</si>
  <si>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</si>
  <si>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</si>
  <si>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</si>
  <si>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</si>
  <si>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</si>
  <si>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</si>
  <si>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</si>
  <si>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</si>
  <si>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</si>
  <si>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</si>
  <si>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</si>
  <si>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</si>
  <si>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</si>
  <si>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</si>
  <si>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</si>
  <si>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</si>
  <si>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</si>
  <si>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</si>
  <si>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</si>
  <si>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</si>
  <si>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</si>
  <si>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</si>
  <si>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</si>
  <si>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</si>
  <si>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</si>
  <si>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</si>
  <si>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</si>
  <si>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</si>
  <si>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</si>
  <si>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</si>
  <si>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</si>
  <si>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</si>
  <si>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</si>
  <si>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</si>
  <si>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</si>
  <si>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</si>
  <si>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</si>
  <si>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</si>
  <si>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</si>
  <si>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</si>
  <si>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</si>
  <si>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</si>
  <si>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</si>
  <si>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</si>
  <si>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</si>
  <si>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</si>
  <si>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</si>
  <si>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</si>
  <si>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</si>
  <si>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</si>
  <si>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</si>
  <si>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</si>
  <si>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</si>
  <si>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</si>
  <si>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</si>
  <si>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</si>
  <si>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</si>
  <si>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</si>
  <si>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</si>
  <si>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</si>
  <si>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</si>
  <si>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</si>
  <si>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</si>
  <si>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</si>
  <si>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</si>
  <si>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</si>
  <si>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</si>
  <si>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</si>
  <si>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</si>
  <si>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</si>
  <si>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</si>
  <si>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</si>
  <si>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</si>
  <si>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</si>
  <si>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</si>
  <si>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</si>
  <si>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</si>
  <si>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</si>
  <si>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</si>
  <si>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</si>
  <si>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</si>
  <si>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</si>
  <si>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</si>
  <si>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</si>
  <si>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</si>
  <si>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</si>
  <si>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</si>
  <si>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</si>
  <si>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</si>
  <si>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</si>
  <si>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</si>
  <si>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</si>
  <si>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</si>
  <si>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</si>
  <si>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</si>
  <si>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</si>
  <si>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</si>
  <si>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</si>
  <si>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</si>
  <si>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</si>
  <si>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</si>
  <si>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</si>
  <si>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</si>
  <si>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</si>
  <si>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</si>
  <si>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</si>
  <si>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</si>
  <si>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</si>
  <si>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</si>
  <si>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</si>
  <si>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</si>
  <si>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</si>
  <si>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</si>
  <si>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</si>
  <si>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</si>
  <si>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</si>
  <si>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</si>
  <si>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</si>
  <si>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</si>
  <si>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</si>
  <si>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</si>
  <si>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</si>
  <si>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</si>
  <si>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</si>
  <si>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</si>
  <si>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</si>
  <si>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</si>
  <si>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</si>
  <si>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</si>
  <si>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</si>
  <si>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</si>
  <si>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</si>
  <si>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</si>
  <si>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</si>
  <si>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</si>
  <si>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</si>
  <si>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</si>
  <si>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</si>
  <si>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</si>
  <si>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</si>
  <si>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</si>
  <si>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</si>
  <si>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</si>
  <si>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</si>
  <si>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</si>
  <si>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</si>
  <si>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</si>
  <si>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</si>
  <si>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</si>
  <si>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</si>
  <si>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</si>
  <si>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</si>
  <si>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</si>
  <si>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</si>
  <si>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</si>
  <si>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</si>
  <si>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</si>
  <si>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</si>
  <si>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</si>
  <si>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</si>
  <si>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</si>
  <si>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</si>
  <si>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</si>
  <si>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</si>
  <si>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</si>
  <si>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</si>
  <si>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</si>
  <si>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</si>
  <si>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</si>
  <si>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</si>
  <si>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</si>
  <si>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</si>
  <si>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</si>
  <si>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</si>
  <si>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</si>
  <si>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</si>
  <si>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</si>
  <si>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</si>
  <si>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</si>
  <si>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</si>
  <si>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</si>
  <si>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</si>
  <si>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</si>
  <si>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</si>
  <si>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</si>
  <si>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</si>
  <si>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</si>
  <si>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</si>
  <si>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</si>
  <si>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</si>
  <si>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</si>
  <si>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</si>
  <si>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</si>
  <si>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</si>
  <si>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</si>
  <si>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</si>
  <si>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</si>
  <si>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</si>
  <si>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</si>
  <si>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</si>
  <si>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</si>
  <si>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</si>
  <si>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</si>
  <si>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</si>
  <si>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</si>
  <si>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</si>
  <si>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</si>
  <si>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</si>
  <si>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</si>
  <si>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</si>
  <si>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</si>
  <si>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</si>
  <si>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</si>
  <si>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</si>
  <si>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</si>
  <si>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</si>
  <si>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</si>
  <si>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</si>
  <si>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</si>
  <si>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</si>
  <si>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</si>
  <si>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</si>
  <si>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</si>
  <si>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</si>
  <si>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</si>
  <si>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</si>
  <si>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</si>
  <si>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</si>
  <si>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</si>
  <si>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</si>
  <si>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</si>
  <si>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</si>
  <si>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</si>
  <si>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</si>
  <si>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</si>
  <si>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</si>
  <si>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</si>
  <si>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</si>
  <si>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</si>
  <si>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</si>
  <si>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</si>
  <si>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</si>
  <si>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</si>
  <si>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</si>
  <si>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</si>
  <si>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</si>
  <si>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</si>
  <si>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</si>
  <si>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</si>
  <si>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</si>
  <si>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</si>
  <si>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</si>
  <si>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</si>
  <si>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</si>
  <si>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</si>
  <si>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</si>
  <si>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</si>
  <si>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</si>
  <si>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</si>
  <si>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</si>
  <si>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</si>
  <si>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</si>
  <si>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</si>
  <si>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</si>
  <si>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</si>
  <si>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</si>
  <si>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</si>
  <si>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</si>
  <si>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</si>
  <si>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</si>
  <si>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</si>
  <si>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</si>
  <si>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</si>
  <si>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</si>
  <si>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</si>
  <si>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</si>
  <si>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</si>
  <si>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</si>
  <si>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</si>
  <si>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</si>
  <si>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</si>
  <si>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</si>
  <si>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</si>
  <si>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</si>
  <si>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</si>
  <si>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</si>
  <si>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</si>
  <si>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</si>
  <si>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</si>
  <si>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</si>
  <si>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</si>
  <si>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</si>
  <si>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</si>
  <si>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</si>
  <si>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</si>
  <si>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</si>
  <si>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</si>
  <si>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</si>
  <si>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</si>
  <si>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</si>
  <si>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</si>
  <si>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</si>
  <si>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</si>
  <si>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</si>
  <si>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</si>
  <si>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</si>
  <si>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</si>
  <si>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</si>
  <si>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</si>
  <si>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</si>
  <si>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</si>
  <si>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</si>
  <si>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</si>
  <si>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</si>
  <si>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</si>
  <si>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</si>
  <si>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</si>
  <si>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</si>
  <si>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</si>
  <si>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</si>
  <si>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</si>
  <si>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</si>
  <si>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</si>
  <si>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</si>
  <si>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</si>
  <si>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</si>
  <si>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</si>
  <si>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</si>
  <si>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</si>
  <si>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</si>
  <si>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</si>
  <si>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</si>
  <si>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</si>
  <si>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</si>
  <si>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</si>
  <si>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</si>
  <si>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</si>
  <si>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</si>
  <si>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</si>
  <si>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</si>
  <si>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</si>
  <si>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</si>
  <si>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</si>
  <si>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</si>
  <si>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</si>
  <si>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</si>
  <si>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</si>
  <si>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</si>
  <si>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</si>
  <si>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</si>
  <si>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</si>
  <si>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</si>
  <si>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</si>
  <si>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</si>
  <si>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</si>
  <si>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</si>
  <si>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</si>
  <si>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</si>
  <si>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</si>
  <si>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</si>
  <si>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</si>
  <si>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</si>
  <si>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</si>
  <si>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</si>
  <si>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</si>
  <si>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</si>
  <si>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</si>
  <si>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</si>
  <si>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</si>
  <si>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</si>
  <si>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</si>
  <si>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</si>
  <si>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</si>
  <si>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</si>
  <si>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</si>
  <si>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</si>
  <si>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</si>
  <si>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</si>
  <si>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</si>
  <si>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</si>
  <si>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</si>
  <si>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</si>
  <si>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</si>
  <si>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</si>
  <si>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</si>
  <si>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</si>
  <si>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</si>
  <si>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</si>
  <si>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</si>
  <si>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</si>
  <si>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</si>
  <si>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</si>
  <si>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</si>
  <si>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</si>
  <si>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</si>
  <si>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</si>
  <si>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</si>
  <si>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</si>
  <si>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</si>
  <si>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</si>
  <si>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</si>
  <si>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</si>
  <si>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</si>
  <si>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</si>
  <si>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</si>
  <si>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</si>
  <si>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</si>
  <si>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</si>
  <si>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</si>
  <si>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</si>
  <si>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</si>
  <si>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</si>
  <si>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</si>
  <si>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</si>
  <si>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</si>
  <si>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</si>
  <si>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</si>
  <si>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</si>
  <si>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</si>
  <si>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</si>
  <si>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</si>
  <si>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</si>
  <si>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</si>
  <si>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</si>
  <si>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</si>
  <si>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</si>
  <si>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</si>
  <si>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</si>
  <si>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</si>
  <si>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</si>
  <si>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</si>
  <si>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</si>
  <si>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</si>
  <si>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</si>
  <si>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</si>
  <si>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</si>
  <si>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</si>
  <si>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</si>
  <si>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</si>
  <si>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</si>
  <si>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</si>
  <si>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</si>
  <si>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</si>
  <si>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</si>
  <si>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</si>
  <si>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</si>
  <si>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</si>
  <si>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</si>
  <si>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</si>
  <si>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</si>
  <si>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</si>
  <si>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</si>
  <si>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</si>
  <si>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</si>
  <si>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</si>
  <si>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</si>
  <si>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</si>
  <si>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</si>
  <si>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</si>
  <si>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</si>
  <si>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</si>
  <si>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</si>
  <si>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</si>
  <si>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</si>
  <si>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</si>
  <si>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</si>
  <si>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</si>
  <si>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</si>
  <si>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</si>
  <si>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</si>
  <si>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</si>
  <si>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</si>
  <si>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</si>
  <si>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</si>
  <si>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</si>
  <si>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</si>
  <si>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</si>
  <si>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</si>
  <si>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</si>
  <si>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</si>
  <si>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</si>
  <si>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</si>
  <si>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</si>
  <si>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</si>
  <si>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</si>
  <si>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</si>
  <si>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</si>
  <si>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</si>
  <si>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</si>
  <si>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</si>
  <si>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</si>
  <si>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</si>
  <si>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</si>
  <si>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</si>
  <si>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</si>
  <si>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</si>
  <si>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</si>
  <si>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</si>
  <si>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</si>
  <si>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</si>
  <si>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</si>
  <si>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</si>
  <si>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</si>
  <si>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</si>
  <si>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</si>
  <si>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</si>
  <si>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</si>
  <si>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</si>
  <si>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</si>
  <si>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</si>
  <si>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</si>
  <si>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</si>
  <si>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</si>
  <si>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</si>
  <si>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</si>
  <si>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</si>
  <si>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</si>
  <si>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</si>
  <si>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</si>
  <si>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</si>
  <si>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</si>
  <si>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</si>
  <si>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</si>
  <si>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</si>
  <si>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</si>
  <si>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</si>
  <si>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</si>
  <si>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</si>
  <si>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</si>
  <si>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</si>
  <si>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</si>
  <si>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</si>
  <si>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</si>
  <si>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</si>
  <si>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</si>
  <si>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</si>
  <si>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</si>
  <si>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</si>
  <si>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</si>
  <si>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</si>
  <si>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</si>
  <si>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</si>
  <si>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</si>
  <si>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</si>
  <si>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</si>
  <si>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</si>
  <si>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</si>
  <si>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</si>
  <si>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</si>
  <si>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</si>
  <si>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</si>
  <si>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</si>
  <si>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</si>
  <si>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</si>
  <si>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</si>
  <si>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</si>
  <si>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</si>
  <si>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</si>
  <si>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</si>
  <si>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</si>
  <si>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</si>
  <si>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</si>
  <si>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</si>
  <si>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</si>
  <si>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</si>
  <si>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</si>
  <si>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</si>
  <si>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</si>
  <si>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</si>
  <si>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</si>
  <si>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</si>
  <si>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</si>
  <si>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</si>
  <si>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</si>
  <si>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</si>
  <si>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</si>
  <si>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</si>
  <si>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</si>
  <si>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</si>
  <si>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</si>
  <si>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</si>
  <si>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</si>
  <si>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</si>
  <si>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</si>
  <si>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</si>
  <si>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</si>
  <si>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</si>
  <si>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</si>
  <si>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</si>
  <si>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</si>
  <si>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</si>
  <si>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</si>
  <si>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</si>
  <si>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</si>
  <si>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</si>
  <si>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</si>
  <si>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</si>
  <si>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</si>
  <si>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</si>
  <si>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</si>
  <si>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</si>
  <si>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</si>
  <si>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</si>
  <si>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</si>
  <si>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</si>
  <si>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</si>
  <si>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</si>
  <si>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</si>
  <si>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</si>
  <si>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</si>
  <si>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</si>
  <si>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</si>
  <si>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</si>
  <si>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</si>
  <si>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</si>
  <si>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</si>
  <si>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</si>
  <si>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</si>
  <si>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</si>
  <si>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</si>
  <si>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</si>
  <si>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</si>
  <si>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</si>
  <si>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</si>
  <si>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</si>
  <si>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</si>
  <si>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</si>
  <si>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</si>
  <si>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</si>
  <si>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</si>
  <si>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</si>
  <si>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</si>
  <si>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</si>
  <si>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</si>
  <si>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</si>
  <si>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</si>
  <si>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</si>
  <si>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</si>
  <si>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</si>
  <si>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</si>
  <si>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</si>
  <si>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</si>
  <si>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</si>
  <si>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</si>
  <si>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</si>
  <si>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</si>
  <si>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</si>
  <si>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</si>
  <si>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</si>
  <si>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</si>
  <si>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</si>
  <si>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</si>
  <si>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</si>
  <si>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</si>
  <si>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</si>
  <si>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</si>
  <si>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</si>
  <si>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</si>
  <si>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</si>
  <si>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</si>
  <si>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</si>
  <si>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</si>
  <si>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</si>
  <si>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</si>
  <si>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</si>
  <si>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</si>
  <si>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</si>
  <si>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</si>
  <si>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</si>
  <si>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</si>
  <si>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</si>
  <si>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</si>
  <si>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</si>
  <si>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</si>
  <si>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</si>
  <si>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</si>
  <si>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</si>
  <si>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</si>
  <si>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</si>
  <si>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</si>
  <si>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</si>
  <si>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</si>
  <si>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</si>
  <si>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</si>
  <si>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</si>
  <si>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</si>
  <si>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</si>
  <si>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</si>
  <si>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</si>
  <si>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</si>
  <si>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</si>
  <si>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</si>
  <si>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</si>
  <si>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</si>
  <si>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</si>
  <si>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</si>
  <si>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</si>
  <si>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</si>
  <si>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</si>
  <si>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</si>
  <si>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</si>
  <si>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</si>
  <si>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</si>
  <si>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</si>
  <si>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</si>
  <si>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</si>
  <si>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</si>
  <si>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</si>
  <si>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</si>
  <si>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</si>
  <si>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</si>
  <si>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</si>
  <si>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</si>
  <si>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</si>
  <si>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</si>
  <si>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</si>
  <si>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</si>
  <si>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</si>
  <si>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</si>
  <si>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</si>
  <si>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</si>
  <si>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</si>
  <si>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</si>
  <si>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</si>
  <si>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</si>
  <si>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</si>
  <si>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</si>
  <si>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</si>
  <si>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</si>
  <si>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</si>
  <si>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</si>
  <si>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</si>
  <si>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</si>
  <si>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</si>
  <si>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</si>
  <si>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</si>
  <si>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</si>
  <si>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</si>
  <si>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</si>
  <si>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</si>
  <si>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</si>
  <si>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</si>
  <si>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</si>
  <si>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</si>
  <si>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</si>
  <si>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</si>
  <si>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</si>
  <si>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</si>
  <si>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</si>
  <si>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</si>
  <si>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</si>
  <si>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</si>
  <si>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</si>
  <si>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</si>
  <si>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</si>
  <si>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</si>
  <si>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</si>
  <si>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</si>
  <si>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</si>
  <si>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</si>
  <si>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</si>
  <si>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</si>
  <si>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</si>
  <si>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</si>
  <si>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</si>
  <si>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</si>
  <si>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</si>
  <si>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</si>
  <si>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</si>
  <si>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</si>
  <si>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</si>
  <si>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</si>
  <si>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</si>
  <si>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</si>
  <si>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</si>
  <si>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</si>
  <si>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</si>
  <si>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</si>
  <si>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</si>
  <si>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</si>
  <si>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</si>
  <si>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</si>
  <si>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</si>
  <si>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</si>
  <si>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</si>
  <si>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</si>
  <si>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</si>
  <si>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</si>
  <si>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</si>
  <si>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</si>
  <si>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</si>
  <si>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</si>
  <si>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</si>
  <si>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</si>
  <si>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</si>
  <si>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</si>
  <si>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</si>
  <si>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</si>
  <si>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</si>
  <si>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</si>
  <si>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</si>
  <si>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</si>
  <si>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</si>
  <si>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</si>
  <si>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</si>
  <si>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</si>
  <si>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</si>
  <si>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</si>
  <si>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</si>
  <si>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</si>
  <si>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</si>
  <si>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</si>
  <si>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</si>
  <si>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</si>
  <si>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</si>
  <si>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</si>
  <si>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</si>
  <si>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</si>
  <si>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</si>
  <si>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</si>
  <si>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</si>
  <si>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</si>
  <si>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</si>
  <si>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</si>
  <si>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</si>
  <si>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</si>
  <si>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</si>
  <si>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</si>
  <si>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</si>
  <si>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</si>
  <si>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</si>
  <si>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</si>
  <si>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</si>
  <si>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</si>
  <si>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</si>
  <si>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</si>
  <si>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</si>
  <si>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</si>
  <si>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</si>
  <si>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</si>
  <si>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</si>
  <si>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</si>
  <si>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</si>
  <si>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</si>
  <si>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</si>
  <si>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</si>
  <si>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</si>
  <si>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</si>
  <si>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</si>
  <si>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</si>
  <si>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</si>
  <si>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</si>
  <si>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</si>
  <si>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</si>
  <si>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</si>
  <si>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</si>
  <si>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</si>
  <si>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</si>
  <si>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</si>
  <si>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</si>
  <si>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</si>
  <si>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</si>
  <si>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</si>
  <si>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</si>
  <si>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</si>
  <si>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</si>
  <si>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</si>
  <si>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</si>
  <si>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</si>
  <si>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</si>
  <si>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</si>
  <si>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</si>
  <si>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</si>
  <si>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</si>
  <si>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</si>
  <si>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</si>
  <si>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</si>
  <si>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</si>
  <si>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</si>
  <si>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</si>
  <si>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</si>
  <si>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</si>
  <si>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</si>
  <si>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</si>
  <si>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</si>
  <si>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</si>
  <si>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</si>
  <si>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</si>
  <si>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</si>
  <si>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</si>
  <si>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</si>
  <si>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</si>
  <si>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</si>
  <si>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</si>
  <si>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</si>
  <si>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</si>
  <si>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</si>
  <si>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</si>
  <si>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</si>
  <si>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</si>
  <si>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</si>
  <si>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</si>
  <si>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</si>
  <si>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</si>
  <si>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</si>
  <si>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</si>
  <si>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</si>
  <si>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</si>
  <si>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</si>
  <si>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</si>
  <si>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</si>
  <si>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</si>
  <si>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</si>
  <si>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</si>
  <si>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</si>
  <si>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</si>
  <si>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</si>
  <si>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</si>
  <si>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</si>
  <si>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</si>
  <si>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</si>
  <si>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</si>
  <si>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</si>
  <si>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</si>
  <si>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</si>
  <si>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</si>
  <si>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</si>
  <si>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</si>
  <si>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</si>
  <si>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</si>
  <si>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</si>
  <si>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</si>
  <si>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</si>
  <si>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</si>
  <si>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</si>
  <si>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</si>
  <si>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</si>
  <si>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</si>
  <si>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</si>
  <si>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</si>
  <si>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</si>
  <si>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</si>
  <si>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</si>
  <si>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</si>
  <si>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</si>
  <si>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</si>
  <si>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</si>
  <si>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</si>
  <si>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</si>
  <si>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</si>
  <si>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</si>
  <si>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</si>
  <si>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</si>
  <si>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</si>
  <si>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</si>
  <si>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</si>
  <si>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</si>
  <si>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</si>
  <si>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</si>
  <si>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</si>
  <si>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</si>
  <si>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</si>
  <si>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</si>
  <si>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</si>
  <si>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</si>
  <si>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</si>
  <si>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</si>
  <si>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</si>
  <si>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</si>
  <si>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</si>
  <si>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</si>
  <si>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</si>
  <si>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</si>
  <si>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</si>
  <si>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</si>
  <si>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</si>
  <si>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</si>
  <si>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</si>
  <si>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</si>
  <si>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</si>
  <si>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</si>
  <si>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</si>
  <si>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</si>
  <si>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</si>
  <si>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</si>
  <si>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</si>
  <si>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</si>
  <si>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</si>
  <si>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</si>
  <si>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</si>
  <si>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</si>
  <si>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</si>
  <si>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</si>
  <si>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</si>
  <si>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</si>
  <si>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</si>
  <si>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</si>
  <si>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</si>
  <si>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</si>
  <si>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</si>
  <si>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</si>
  <si>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</si>
  <si>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</si>
  <si>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</si>
  <si>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</si>
  <si>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</si>
  <si>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</si>
  <si>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</si>
  <si>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</si>
  <si>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</si>
  <si>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</si>
  <si>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</si>
  <si>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</si>
  <si>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</si>
  <si>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</si>
  <si>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</si>
  <si>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</si>
  <si>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</si>
  <si>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</si>
  <si>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</si>
  <si>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</si>
  <si>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</si>
  <si>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</si>
  <si>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</si>
  <si>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</si>
  <si>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</si>
  <si>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</si>
  <si>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</si>
  <si>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</si>
  <si>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</si>
  <si>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</si>
  <si>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</si>
  <si>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</si>
  <si>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</si>
  <si>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</si>
  <si>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</si>
  <si>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</si>
  <si>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</si>
  <si>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</si>
  <si>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</si>
  <si>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</si>
  <si>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</si>
  <si>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</si>
  <si>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</si>
  <si>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</si>
  <si>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</si>
  <si>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</si>
  <si>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</si>
  <si>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</si>
  <si>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</si>
  <si>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</si>
  <si>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</si>
  <si>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</si>
  <si>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</si>
  <si>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</si>
  <si>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</si>
  <si>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</si>
  <si>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</si>
  <si>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</si>
  <si>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</si>
  <si>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</si>
  <si>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</si>
  <si>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</si>
  <si>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</si>
  <si>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</si>
  <si>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</si>
  <si>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</si>
  <si>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</si>
  <si>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</si>
  <si>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</si>
  <si>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</si>
  <si>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</si>
  <si>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</si>
  <si>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</si>
  <si>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</si>
  <si>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</si>
  <si>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</si>
  <si>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</si>
  <si>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</si>
  <si>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</si>
  <si>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</si>
  <si>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</si>
  <si>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</si>
  <si>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</si>
  <si>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</si>
  <si>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</si>
  <si>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</si>
  <si>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</si>
  <si>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</si>
  <si>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</si>
  <si>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</si>
  <si>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</si>
  <si>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</si>
  <si>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</si>
  <si>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</si>
  <si>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</si>
  <si>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</si>
  <si>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</si>
  <si>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</si>
  <si>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</si>
  <si>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</si>
  <si>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</si>
  <si>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</si>
  <si>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</si>
  <si>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</si>
  <si>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</si>
  <si>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</si>
  <si>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</si>
  <si>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</si>
  <si>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</si>
  <si>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</si>
  <si>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</si>
  <si>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</si>
  <si>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</si>
  <si>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</si>
  <si>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</si>
  <si>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</si>
  <si>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</si>
  <si>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</si>
  <si>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</si>
  <si>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</si>
  <si>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</si>
  <si>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</si>
  <si>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</si>
  <si>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</si>
  <si>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</si>
  <si>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</si>
  <si>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</si>
  <si>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</si>
  <si>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</si>
  <si>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</si>
  <si>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</si>
  <si>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</si>
  <si>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</si>
  <si>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</si>
  <si>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</si>
  <si>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</si>
  <si>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</si>
  <si>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</si>
  <si>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</si>
  <si>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</si>
  <si>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</si>
  <si>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</si>
  <si>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</si>
  <si>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</si>
  <si>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</si>
  <si>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</si>
  <si>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</si>
  <si>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</si>
  <si>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</si>
  <si>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</si>
  <si>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</si>
  <si>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</si>
  <si>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</si>
  <si>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</si>
  <si>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</si>
  <si>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</si>
  <si>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</si>
  <si>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</si>
  <si>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</si>
  <si>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</si>
  <si>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</si>
  <si>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</si>
  <si>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</si>
  <si>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</si>
  <si>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</si>
  <si>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</si>
  <si>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</si>
  <si>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</si>
  <si>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</si>
  <si>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</si>
  <si>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</si>
  <si>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</si>
  <si>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</si>
  <si>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</si>
  <si>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</si>
  <si>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</si>
  <si>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</si>
  <si>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</si>
  <si>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</si>
  <si>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</si>
  <si>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</si>
  <si>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</si>
  <si>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</si>
  <si>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</si>
  <si>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</si>
  <si>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</si>
  <si>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</si>
  <si>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</si>
  <si>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</si>
  <si>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</si>
  <si>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</si>
  <si>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</si>
  <si>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</si>
  <si>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</si>
  <si>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</si>
  <si>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</si>
  <si>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</si>
  <si>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</si>
  <si>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</si>
  <si>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</si>
  <si>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</si>
  <si>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</si>
  <si>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</si>
  <si>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</si>
  <si>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</si>
  <si>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</si>
  <si>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</si>
  <si>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</si>
  <si>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</si>
  <si>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</si>
  <si>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</si>
  <si>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</si>
  <si>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</si>
  <si>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</si>
  <si>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</si>
  <si>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</si>
  <si>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</si>
  <si>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</si>
  <si>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</si>
  <si>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</si>
  <si>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</si>
  <si>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</si>
  <si>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</si>
  <si>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</si>
  <si>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</si>
  <si>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</si>
  <si>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</si>
  <si>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</si>
  <si>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</si>
  <si>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</si>
  <si>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</si>
  <si>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</si>
  <si>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</si>
  <si>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</si>
  <si>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</si>
  <si>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</si>
  <si>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</si>
  <si>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</si>
  <si>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</si>
  <si>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</si>
  <si>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</si>
  <si>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</si>
  <si>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</si>
  <si>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</si>
  <si>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</si>
  <si>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</si>
  <si>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</si>
  <si>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</si>
  <si>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</si>
  <si>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</si>
  <si>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</si>
  <si>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</si>
  <si>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</si>
  <si>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</si>
  <si>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</si>
  <si>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</si>
  <si>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</si>
  <si>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</si>
  <si>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</si>
  <si>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</si>
  <si>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</si>
  <si>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</si>
  <si>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</si>
  <si>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</si>
  <si>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</si>
  <si>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</si>
  <si>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</si>
  <si>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</si>
  <si>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</si>
  <si>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</si>
  <si>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</si>
  <si>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</si>
  <si>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</si>
  <si>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</si>
  <si>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</si>
  <si>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</si>
  <si>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</si>
  <si>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</si>
  <si>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</si>
  <si>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</si>
  <si>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</si>
  <si>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</si>
  <si>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</si>
  <si>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</si>
  <si>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</si>
  <si>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</si>
  <si>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</si>
  <si>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</si>
  <si>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</si>
  <si>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</si>
  <si>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</si>
  <si>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</si>
  <si>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</si>
  <si>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</si>
  <si>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</si>
  <si>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</si>
  <si>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</si>
  <si>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</si>
  <si>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</si>
  <si>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</si>
  <si>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</si>
  <si>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</si>
  <si>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</si>
  <si>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</si>
  <si>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</si>
  <si>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</si>
  <si>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</si>
  <si>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</si>
  <si>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</si>
  <si>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</si>
  <si>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</si>
  <si>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</si>
  <si>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</si>
  <si>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</si>
  <si>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</si>
  <si>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</si>
  <si>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</si>
  <si>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</si>
  <si>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</si>
  <si>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</si>
  <si>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</si>
  <si>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</si>
  <si>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</si>
  <si>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</si>
  <si>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</si>
  <si>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</si>
  <si>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</si>
  <si>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</si>
  <si>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</si>
  <si>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</si>
  <si>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</si>
  <si>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</si>
  <si>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</si>
  <si>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</si>
  <si>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</si>
  <si>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</si>
  <si>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</si>
  <si>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</si>
  <si>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</si>
  <si>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</si>
  <si>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</si>
  <si>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</si>
  <si>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</si>
  <si>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</si>
  <si>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</si>
  <si>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</si>
  <si>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</si>
  <si>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</si>
  <si>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</si>
  <si>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</si>
  <si>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</si>
  <si>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</si>
  <si>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</si>
  <si>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</si>
  <si>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</si>
  <si>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</si>
  <si>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</si>
  <si>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</si>
  <si>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</si>
  <si>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</si>
  <si>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</si>
  <si>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</si>
  <si>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</si>
  <si>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</si>
  <si>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</si>
  <si>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</si>
  <si>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</si>
  <si>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</si>
  <si>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</si>
  <si>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</si>
  <si>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</si>
  <si>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</si>
  <si>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</si>
  <si>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</si>
  <si>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</si>
  <si>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</si>
  <si>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</si>
  <si>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</si>
  <si>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</si>
  <si>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</si>
  <si>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</si>
  <si>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</si>
  <si>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</si>
  <si>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</si>
  <si>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</si>
  <si>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</si>
  <si>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</si>
  <si>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</si>
  <si>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</si>
  <si>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</si>
  <si>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</si>
  <si>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</si>
  <si>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</si>
  <si>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</si>
  <si>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</si>
  <si>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</si>
  <si>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</si>
  <si>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</si>
  <si>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</si>
  <si>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</si>
  <si>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</si>
  <si>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</si>
  <si>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</si>
  <si>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</si>
  <si>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</si>
  <si>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</si>
  <si>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</si>
  <si>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</si>
  <si>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</si>
  <si>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</si>
  <si>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</si>
  <si>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</si>
  <si>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</si>
  <si>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</si>
  <si>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</si>
  <si>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</si>
  <si>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</si>
  <si>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</si>
  <si>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</si>
  <si>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</si>
  <si>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</si>
  <si>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</si>
  <si>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</si>
  <si>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</si>
  <si>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</si>
  <si>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</si>
  <si>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</si>
  <si>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</si>
  <si>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</si>
  <si>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</si>
  <si>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</si>
  <si>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</si>
  <si>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</si>
  <si>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</si>
  <si>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</si>
  <si>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</si>
  <si>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</si>
  <si>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</si>
  <si>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</si>
  <si>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</si>
  <si>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</si>
  <si>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</si>
  <si>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</si>
  <si>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</si>
  <si>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</si>
  <si>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</si>
  <si>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</si>
  <si>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</si>
  <si>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</si>
  <si>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</si>
  <si>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</si>
  <si>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</si>
  <si>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</si>
  <si>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</si>
  <si>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</si>
  <si>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</si>
  <si>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</si>
  <si>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</si>
  <si>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</si>
  <si>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</si>
  <si>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</si>
  <si>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</si>
  <si>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</si>
  <si>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</si>
  <si>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</si>
  <si>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</si>
  <si>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</si>
  <si>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</si>
  <si>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</si>
  <si>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</si>
  <si>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</si>
  <si>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</si>
  <si>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</si>
  <si>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</si>
  <si>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</si>
  <si>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</si>
  <si>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</si>
  <si>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</si>
  <si>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</si>
  <si>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</si>
  <si>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</si>
  <si>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</si>
  <si>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</si>
  <si>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</si>
  <si>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</si>
  <si>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</si>
  <si>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</si>
  <si>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</si>
  <si>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</si>
  <si>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</si>
  <si>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</si>
  <si>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</si>
  <si>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</si>
  <si>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</si>
  <si>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</si>
  <si>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</si>
  <si>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</si>
  <si>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</si>
  <si>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</si>
  <si>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</si>
  <si>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</si>
  <si>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</si>
  <si>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</si>
  <si>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</si>
  <si>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</si>
  <si>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</si>
  <si>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</si>
  <si>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</si>
  <si>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</si>
  <si>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</si>
  <si>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</si>
  <si>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</si>
  <si>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</si>
  <si>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</si>
  <si>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</si>
  <si>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</si>
  <si>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</si>
  <si>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</si>
  <si>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</si>
  <si>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</si>
  <si>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</si>
  <si>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</si>
  <si>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</si>
  <si>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</si>
  <si>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</si>
  <si>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</si>
  <si>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</si>
  <si>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</si>
  <si>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</si>
  <si>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</si>
  <si>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</si>
  <si>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</si>
  <si>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</si>
  <si>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</si>
  <si>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</si>
  <si>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</si>
  <si>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</si>
  <si>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</si>
  <si>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</si>
  <si>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</si>
  <si>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</si>
  <si>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</si>
  <si>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</si>
  <si>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</si>
  <si>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</si>
  <si>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</si>
  <si>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</si>
  <si>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</si>
  <si>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</si>
  <si>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</si>
  <si>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</si>
  <si>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</si>
  <si>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</si>
  <si>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</si>
  <si>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</si>
  <si>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</si>
  <si>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</si>
  <si>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</si>
  <si>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</si>
  <si>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</si>
  <si>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</si>
  <si>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</si>
  <si>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</si>
  <si>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</si>
  <si>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</si>
  <si>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</si>
  <si>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</si>
  <si>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</si>
  <si>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</si>
  <si>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</si>
  <si>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</si>
  <si>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</si>
  <si>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</si>
  <si>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</si>
  <si>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</si>
  <si>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</si>
  <si>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</si>
  <si>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</si>
  <si>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</si>
  <si>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</si>
  <si>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</si>
  <si>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</si>
  <si>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</si>
  <si>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</si>
  <si>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</si>
  <si>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</si>
  <si>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</si>
  <si>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</si>
  <si>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</si>
  <si>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</si>
  <si>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</si>
  <si>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</si>
  <si>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</si>
  <si>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</si>
  <si>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</si>
  <si>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</si>
  <si>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</si>
  <si>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</si>
  <si>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</si>
  <si>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</si>
  <si>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</si>
  <si>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</si>
  <si>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</si>
  <si>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</si>
  <si>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</si>
  <si>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</si>
  <si>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</si>
  <si>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</si>
  <si>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</si>
  <si>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</si>
  <si>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</si>
  <si>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</si>
  <si>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</si>
  <si>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</si>
  <si>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</si>
  <si>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</si>
  <si>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</si>
  <si>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</si>
  <si>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</si>
  <si>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</si>
  <si>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</si>
  <si>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</si>
  <si>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</si>
  <si>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</si>
  <si>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</si>
  <si>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</si>
  <si>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</si>
  <si>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</si>
  <si>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</si>
  <si>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</si>
  <si>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</si>
  <si>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</si>
  <si>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</si>
  <si>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</si>
  <si>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</si>
  <si>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</si>
  <si>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</si>
  <si>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</si>
  <si>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</si>
  <si>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</si>
  <si>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</si>
  <si>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</si>
  <si>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</si>
  <si>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</si>
  <si>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</si>
  <si>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</si>
  <si>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</si>
  <si>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</si>
  <si>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</si>
  <si>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</si>
  <si>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</si>
  <si>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</si>
  <si>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</si>
  <si>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</si>
  <si>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</si>
  <si>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</si>
  <si>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</si>
  <si>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</si>
  <si>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</si>
  <si>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</si>
  <si>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</si>
  <si>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</si>
  <si>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</si>
  <si>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</si>
  <si>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</si>
  <si>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</si>
  <si>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</si>
  <si>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</si>
  <si>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</si>
  <si>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</si>
  <si>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</si>
  <si>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</si>
  <si>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</si>
  <si>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</si>
  <si>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</si>
  <si>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</si>
  <si>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</si>
  <si>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</si>
  <si>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</si>
  <si>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</si>
  <si>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</si>
  <si>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</si>
  <si>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</si>
  <si>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</si>
  <si>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</si>
  <si>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</si>
  <si>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</si>
  <si>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</si>
  <si>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</si>
  <si>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</si>
  <si>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</si>
  <si>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</si>
  <si>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</si>
  <si>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</si>
  <si>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</si>
  <si>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</si>
  <si>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</si>
  <si>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</si>
  <si>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</si>
  <si>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</si>
  <si>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</si>
  <si>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</si>
  <si>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</si>
  <si>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</si>
  <si>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</si>
  <si>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</si>
  <si>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</si>
  <si>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</si>
  <si>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</si>
  <si>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</si>
  <si>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</si>
  <si>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</si>
  <si>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</si>
  <si>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</si>
  <si>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</si>
  <si>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</si>
  <si>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</si>
  <si>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</si>
  <si>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</si>
  <si>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</si>
  <si>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</si>
  <si>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</si>
  <si>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</si>
  <si>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</si>
  <si>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</si>
  <si>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</si>
  <si>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</si>
  <si>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</si>
  <si>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</si>
  <si>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</si>
  <si>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</si>
  <si>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</si>
  <si>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</si>
  <si>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</si>
  <si>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</si>
  <si>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</si>
  <si>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</si>
  <si>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</si>
  <si>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</si>
  <si>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</si>
  <si>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</si>
  <si>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</si>
  <si>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</si>
  <si>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</si>
  <si>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</si>
  <si>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</si>
  <si>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</si>
  <si>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</si>
  <si>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</si>
  <si>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</si>
  <si>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</si>
  <si>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</si>
  <si>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</si>
  <si>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</si>
  <si>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</si>
  <si>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</si>
  <si>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</si>
  <si>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</si>
  <si>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</si>
  <si>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</si>
  <si>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</si>
  <si>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</si>
  <si>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</si>
  <si>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</si>
  <si>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</si>
  <si>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</si>
  <si>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</si>
  <si>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</si>
  <si>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</si>
  <si>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</si>
  <si>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</si>
  <si>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</si>
  <si>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</si>
  <si>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</si>
  <si>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</si>
  <si>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</si>
  <si>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</si>
  <si>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</si>
  <si>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</si>
  <si>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</si>
  <si>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</si>
  <si>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</si>
  <si>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</si>
  <si>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</si>
  <si>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</si>
  <si>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</si>
  <si>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</si>
  <si>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</si>
  <si>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</si>
  <si>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</si>
  <si>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</si>
  <si>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</si>
  <si>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</si>
  <si>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</si>
  <si>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</si>
  <si>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</si>
  <si>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</si>
  <si>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</si>
  <si>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</si>
  <si>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</si>
  <si>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</si>
  <si>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</si>
  <si>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</si>
  <si>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</si>
  <si>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</si>
  <si>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</si>
  <si>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</si>
  <si>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</si>
  <si>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</si>
  <si>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</si>
  <si>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</si>
  <si>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</si>
  <si>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</si>
  <si>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</si>
  <si>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</si>
  <si>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</si>
  <si>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</si>
  <si>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</si>
  <si>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</si>
  <si>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</si>
  <si>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</si>
  <si>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</si>
  <si>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</si>
  <si>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</si>
  <si>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</si>
  <si>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</si>
  <si>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</si>
  <si>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</si>
  <si>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</si>
  <si>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</si>
  <si>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</si>
  <si>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</si>
  <si>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</si>
  <si>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</si>
  <si>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</si>
  <si>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</si>
  <si>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</si>
  <si>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</si>
  <si>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</si>
  <si>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</si>
  <si>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</si>
  <si>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</si>
  <si>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</si>
  <si>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</si>
  <si>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</si>
  <si>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</si>
  <si>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</si>
  <si>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</si>
  <si>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</si>
  <si>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</si>
  <si>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</si>
  <si>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</si>
  <si>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</si>
  <si>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</si>
  <si>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</si>
  <si>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</si>
  <si>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</si>
  <si>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</si>
  <si>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</si>
  <si>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</si>
  <si>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</si>
  <si>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</si>
  <si>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</si>
  <si>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</si>
  <si>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</si>
  <si>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</si>
  <si>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</si>
  <si>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</si>
  <si>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</si>
  <si>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</si>
  <si>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</si>
  <si>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</si>
  <si>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</si>
  <si>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</si>
  <si>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</si>
  <si>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</si>
  <si>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</si>
  <si>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</si>
  <si>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</si>
  <si>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</si>
  <si>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</si>
  <si>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</si>
  <si>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</si>
  <si>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</si>
  <si>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</si>
  <si>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</si>
  <si>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</si>
  <si>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</si>
  <si>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</si>
  <si>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</si>
  <si>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</si>
  <si>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</si>
  <si>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</si>
  <si>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</si>
  <si>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</si>
  <si>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</si>
  <si>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</si>
  <si>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</si>
  <si>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</si>
  <si>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</si>
  <si>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</si>
  <si>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</si>
  <si>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</si>
  <si>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</si>
  <si>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</si>
  <si>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</si>
  <si>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</si>
  <si>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</si>
  <si>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</si>
  <si>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</si>
  <si>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</si>
  <si>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</si>
  <si>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</si>
  <si>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</si>
  <si>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</si>
  <si>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</si>
  <si>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</si>
  <si>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</si>
  <si>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</si>
  <si>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</si>
  <si>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</si>
  <si>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</si>
  <si>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</si>
  <si>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</si>
  <si>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</si>
  <si>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</si>
  <si>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</si>
  <si>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</si>
  <si>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</si>
  <si>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</si>
  <si>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</si>
  <si>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</si>
  <si>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</si>
  <si>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</si>
  <si>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</si>
  <si>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</si>
  <si>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</si>
  <si>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</si>
  <si>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</si>
  <si>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</si>
  <si>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</si>
  <si>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</si>
  <si>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</si>
  <si>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</si>
  <si>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</si>
  <si>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</si>
  <si>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</si>
  <si>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</si>
  <si>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</si>
  <si>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</si>
  <si>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</si>
  <si>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</si>
  <si>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</si>
  <si>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</si>
  <si>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</si>
  <si>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</si>
  <si>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</si>
  <si>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</si>
  <si>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</si>
  <si>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</si>
  <si>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</si>
  <si>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</si>
  <si>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</si>
  <si>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</si>
  <si>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</si>
  <si>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</si>
  <si>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</si>
  <si>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</si>
  <si>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</si>
  <si>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</si>
  <si>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</si>
  <si>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</si>
  <si>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</si>
  <si>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</si>
  <si>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</si>
  <si>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</si>
  <si>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</si>
  <si>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</si>
  <si>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</si>
  <si>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</si>
  <si>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</si>
  <si>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</si>
  <si>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</si>
  <si>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</si>
  <si>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</si>
  <si>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</si>
  <si>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</si>
  <si>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</si>
  <si>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</si>
  <si>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</si>
  <si>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</si>
  <si>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</si>
  <si>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</si>
  <si>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</si>
  <si>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</si>
  <si>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</si>
  <si>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</si>
  <si>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</si>
  <si>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</si>
  <si>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</si>
  <si>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</si>
  <si>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</si>
  <si>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</si>
  <si>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</si>
  <si>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</si>
  <si>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</si>
  <si>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</si>
  <si>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</si>
  <si>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</si>
  <si>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</si>
  <si>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</si>
  <si>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</si>
  <si>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</si>
  <si>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</si>
  <si>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</si>
  <si>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</si>
  <si>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</si>
  <si>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</si>
  <si>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</si>
  <si>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</si>
  <si>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</si>
  <si>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</si>
  <si>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</si>
  <si>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</si>
  <si>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</si>
  <si>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</si>
  <si>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</si>
  <si>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</si>
  <si>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</si>
  <si>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</si>
  <si>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</si>
  <si>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</si>
  <si>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</si>
  <si>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</si>
  <si>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</si>
  <si>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</si>
  <si>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</si>
  <si>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</si>
  <si>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</si>
  <si>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</si>
  <si>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</si>
  <si>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</si>
  <si>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</si>
  <si>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</si>
  <si>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</si>
  <si>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</si>
  <si>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</si>
  <si>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</si>
  <si>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</si>
  <si>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</si>
  <si>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</si>
  <si>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</si>
  <si>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</si>
  <si>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</si>
  <si>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</si>
  <si>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</si>
  <si>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</si>
  <si>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</si>
  <si>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</si>
  <si>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</si>
  <si>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</si>
  <si>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</si>
  <si>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</si>
  <si>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</si>
  <si>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</si>
  <si>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</si>
  <si>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</si>
  <si>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</si>
  <si>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</si>
  <si>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</si>
  <si>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</si>
  <si>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</si>
  <si>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</si>
  <si>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</si>
  <si>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</si>
  <si>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</si>
  <si>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</si>
  <si>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</si>
  <si>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</si>
  <si>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</si>
  <si>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</si>
  <si>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</si>
  <si>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</si>
  <si>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</si>
  <si>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</si>
  <si>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</si>
  <si>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</si>
  <si>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</si>
  <si>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</si>
  <si>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</si>
  <si>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</si>
  <si>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</si>
  <si>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</si>
  <si>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</si>
  <si>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</si>
  <si>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</si>
  <si>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</si>
  <si>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</si>
  <si>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</si>
  <si>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</si>
  <si>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</si>
  <si>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</si>
  <si>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</si>
  <si>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</si>
  <si>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</si>
  <si>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</si>
  <si>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</si>
  <si>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</si>
  <si>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</si>
  <si>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</si>
  <si>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</si>
  <si>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</si>
  <si>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</si>
  <si>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</si>
  <si>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</si>
  <si>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</si>
  <si>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</si>
  <si>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</si>
  <si>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</si>
  <si>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</si>
  <si>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</si>
  <si>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</si>
  <si>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</si>
  <si>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</si>
  <si>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</si>
  <si>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</si>
  <si>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</si>
  <si>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</si>
  <si>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</si>
  <si>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</si>
  <si>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</si>
  <si>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</si>
  <si>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</si>
  <si>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</si>
  <si>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</si>
  <si>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</si>
  <si>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</si>
  <si>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</si>
  <si>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</si>
  <si>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</si>
  <si>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</si>
  <si>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</si>
  <si>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</si>
  <si>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</si>
  <si>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</si>
  <si>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</si>
  <si>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</si>
  <si>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</si>
  <si>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</si>
  <si>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</si>
  <si>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</si>
  <si>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</si>
  <si>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</si>
  <si>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</si>
  <si>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</si>
  <si>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</si>
  <si>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</si>
  <si>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</si>
  <si>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</si>
  <si>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</si>
  <si>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</si>
  <si>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</si>
  <si>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</si>
  <si>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</si>
  <si>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</si>
  <si>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</si>
  <si>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</si>
  <si>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</si>
  <si>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</si>
  <si>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</si>
  <si>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</si>
  <si>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</si>
  <si>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</si>
  <si>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</si>
  <si>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</si>
  <si>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</si>
  <si>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</si>
  <si>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</si>
  <si>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</si>
  <si>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</si>
  <si>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</si>
  <si>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</si>
  <si>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</si>
  <si>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</si>
  <si>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</si>
  <si>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</si>
  <si>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</si>
  <si>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</si>
  <si>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</si>
  <si>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</si>
  <si>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</si>
  <si>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</si>
  <si>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</si>
  <si>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</si>
  <si>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</si>
  <si>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</si>
  <si>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</si>
  <si>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</si>
  <si>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</si>
  <si>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</si>
  <si>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</si>
  <si>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</si>
  <si>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</si>
  <si>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</si>
  <si>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</si>
  <si>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</si>
  <si>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</si>
  <si>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</si>
  <si>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</si>
  <si>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</si>
  <si>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</si>
  <si>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</si>
  <si>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</si>
  <si>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</si>
  <si>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</si>
  <si>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</si>
  <si>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</si>
  <si>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</si>
  <si>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</si>
  <si>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</si>
  <si>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</si>
  <si>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</si>
  <si>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</si>
  <si>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</si>
  <si>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</si>
  <si>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</si>
  <si>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</si>
  <si>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</si>
  <si>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</si>
  <si>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</si>
  <si>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</si>
  <si>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</si>
  <si>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</si>
  <si>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</si>
  <si>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</si>
  <si>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</si>
  <si>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</si>
  <si>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</si>
  <si>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</si>
  <si>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</si>
  <si>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</si>
  <si>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</si>
  <si>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</si>
  <si>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</si>
  <si>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</si>
  <si>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</si>
  <si>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</si>
  <si>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</si>
  <si>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</si>
  <si>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</si>
  <si>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</si>
  <si>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</si>
  <si>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</si>
  <si>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</si>
  <si>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</si>
  <si>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</si>
  <si>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</si>
  <si>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</si>
  <si>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</si>
  <si>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</si>
  <si>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</si>
  <si>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</si>
  <si>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</si>
  <si>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</si>
  <si>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</si>
  <si>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</si>
  <si>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</si>
  <si>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</si>
  <si>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</si>
  <si>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</si>
  <si>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</si>
  <si>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</si>
  <si>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</si>
  <si>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</si>
  <si>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</si>
  <si>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</si>
  <si>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</si>
  <si>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</si>
  <si>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</si>
  <si>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</si>
  <si>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</si>
  <si>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</si>
  <si>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</si>
  <si>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</si>
  <si>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</si>
  <si>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</si>
  <si>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</si>
  <si>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</si>
  <si>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</si>
  <si>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</si>
  <si>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</si>
  <si>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</si>
  <si>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</si>
  <si>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</si>
  <si>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</si>
  <si>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</si>
  <si>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</si>
  <si>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</si>
  <si>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</si>
  <si>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</si>
  <si>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</si>
  <si>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</si>
  <si>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</si>
  <si>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</si>
  <si>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</si>
  <si>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</si>
  <si>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</si>
  <si>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</si>
  <si>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</si>
  <si>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</si>
  <si>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</si>
  <si>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</si>
  <si>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</si>
  <si>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</si>
  <si>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</si>
  <si>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</si>
  <si>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</si>
  <si>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</si>
  <si>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</si>
  <si>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</si>
  <si>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</si>
  <si>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</si>
  <si>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</si>
  <si>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</si>
  <si>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</si>
  <si>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</si>
  <si>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</si>
  <si>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</si>
  <si>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</si>
  <si>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</si>
  <si>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</si>
  <si>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</si>
  <si>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</si>
  <si>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</si>
  <si>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</si>
  <si>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</si>
  <si>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</si>
  <si>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</si>
  <si>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</si>
  <si>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</si>
  <si>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</si>
  <si>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</si>
  <si>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</si>
  <si>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</si>
  <si>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</si>
  <si>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</si>
  <si>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</si>
  <si>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</si>
  <si>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</si>
  <si>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</si>
  <si>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</si>
  <si>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</si>
  <si>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</si>
  <si>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</si>
  <si>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</si>
  <si>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</si>
  <si>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</si>
  <si>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</si>
  <si>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</si>
  <si>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</si>
  <si>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</si>
  <si>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</si>
  <si>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</si>
  <si>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</si>
  <si>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</si>
  <si>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</si>
  <si>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</si>
  <si>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</si>
  <si>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</si>
  <si>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</si>
  <si>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</si>
  <si>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</si>
  <si>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</si>
  <si>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</si>
  <si>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</si>
  <si>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</si>
  <si>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</si>
  <si>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</si>
  <si>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</si>
  <si>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</si>
  <si>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</si>
  <si>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</si>
  <si>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</si>
  <si>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</si>
  <si>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</si>
  <si>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</si>
  <si>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</si>
  <si>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</si>
  <si>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</si>
  <si>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</si>
  <si>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</si>
  <si>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</si>
  <si>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</si>
  <si>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</si>
  <si>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</si>
  <si>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</si>
  <si>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</si>
  <si>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</si>
  <si>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</si>
  <si>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</si>
  <si>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</si>
  <si>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</si>
  <si>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</si>
  <si>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</si>
  <si>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</si>
  <si>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</si>
  <si>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</si>
  <si>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</si>
  <si>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</si>
  <si>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</si>
  <si>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</si>
  <si>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</si>
  <si>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</si>
  <si>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</si>
  <si>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</si>
  <si>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</si>
  <si>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</si>
  <si>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</si>
  <si>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</si>
  <si>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</si>
  <si>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</si>
  <si>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</si>
  <si>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</si>
  <si>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</si>
  <si>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</si>
  <si>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</si>
  <si>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</si>
  <si>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</si>
  <si>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</si>
  <si>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</si>
  <si>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</si>
  <si>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</si>
  <si>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</si>
  <si>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</si>
  <si>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</si>
  <si>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</si>
  <si>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</si>
  <si>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</si>
  <si>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</si>
  <si>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</si>
  <si>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</si>
  <si>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</si>
  <si>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</si>
  <si>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</si>
  <si>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</si>
  <si>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</si>
  <si>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</si>
  <si>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</si>
  <si>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</si>
  <si>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</si>
  <si>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</si>
  <si>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</si>
  <si>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</si>
  <si>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</si>
  <si>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</si>
  <si>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</si>
  <si>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</si>
  <si>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</si>
  <si>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</si>
  <si>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</si>
  <si>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</si>
  <si>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</si>
  <si>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</si>
  <si>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</si>
  <si>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</si>
  <si>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</si>
  <si>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</si>
  <si>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</si>
  <si>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</si>
  <si>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</si>
  <si>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</si>
  <si>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</si>
  <si>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</si>
  <si>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</si>
  <si>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</si>
  <si>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</si>
  <si>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</si>
  <si>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</si>
  <si>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</si>
  <si>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</si>
  <si>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</si>
  <si>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</si>
  <si>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</si>
  <si>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</si>
  <si>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</si>
  <si>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</si>
  <si>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</si>
  <si>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</si>
  <si>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</si>
  <si>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</si>
  <si>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</si>
  <si>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</si>
  <si>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</si>
  <si>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</si>
  <si>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</si>
  <si>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</si>
  <si>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</si>
  <si>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</si>
  <si>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</si>
  <si>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</si>
  <si>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</si>
  <si>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</si>
  <si>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</si>
  <si>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</si>
  <si>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</si>
  <si>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</si>
  <si>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</si>
  <si>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</si>
  <si>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</si>
  <si>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</si>
  <si>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</si>
  <si>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</si>
  <si>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</si>
  <si>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</si>
  <si>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</si>
  <si>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</si>
  <si>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</si>
  <si>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</si>
  <si>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</si>
  <si>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</si>
  <si>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</si>
  <si>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</si>
  <si>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</si>
  <si>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</si>
  <si>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</si>
  <si>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</si>
  <si>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</si>
  <si>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</si>
  <si>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</si>
  <si>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</si>
  <si>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</si>
  <si>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</si>
  <si>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</si>
  <si>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</si>
  <si>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</si>
  <si>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</si>
  <si>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</si>
  <si>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</si>
  <si>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</si>
  <si>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</si>
  <si>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</si>
  <si>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</si>
  <si>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</si>
  <si>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</si>
  <si>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</si>
  <si>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</si>
  <si>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</si>
  <si>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</si>
  <si>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</si>
  <si>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</si>
  <si>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</si>
  <si>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</si>
  <si>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</si>
  <si>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</si>
  <si>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</si>
  <si>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</si>
  <si>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</si>
  <si>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</si>
  <si>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</si>
  <si>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</si>
  <si>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</si>
  <si>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</si>
  <si>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</si>
  <si>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</si>
  <si>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</si>
  <si>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</si>
  <si>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</si>
  <si>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</si>
  <si>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</si>
  <si>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</si>
  <si>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</si>
  <si>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</si>
  <si>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</si>
  <si>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</si>
  <si>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</si>
  <si>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</si>
  <si>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</si>
  <si>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</si>
  <si>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</si>
  <si>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</si>
  <si>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</si>
  <si>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</si>
  <si>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</si>
  <si>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</si>
  <si>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</si>
  <si>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</si>
  <si>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</si>
  <si>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</si>
  <si>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</si>
  <si>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</si>
  <si>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</si>
  <si>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</si>
  <si>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</si>
  <si>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</si>
  <si>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</si>
  <si>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</si>
  <si>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</si>
  <si>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</si>
  <si>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</si>
  <si>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</si>
  <si>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</si>
  <si>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</si>
  <si>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</si>
  <si>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</si>
  <si>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</si>
  <si>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</si>
  <si>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</si>
  <si>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</si>
  <si>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</si>
  <si>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</si>
  <si>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</si>
  <si>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</si>
  <si>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</si>
  <si>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</si>
  <si>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</si>
  <si>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</si>
  <si>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</si>
  <si>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</si>
  <si>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</si>
  <si>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</si>
  <si>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</si>
  <si>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</si>
  <si>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</si>
  <si>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</si>
  <si>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</si>
  <si>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</si>
  <si>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</si>
  <si>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</si>
  <si>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</si>
  <si>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</si>
  <si>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</si>
  <si>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</si>
  <si>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</si>
  <si>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</si>
  <si>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</si>
  <si>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</si>
  <si>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</si>
  <si>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</si>
  <si>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</si>
  <si>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</si>
  <si>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</si>
  <si>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</si>
  <si>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</si>
  <si>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</si>
  <si>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</si>
  <si>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</si>
  <si>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</si>
  <si>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</si>
  <si>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</si>
  <si>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</si>
  <si>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</si>
  <si>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</si>
  <si>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</si>
  <si>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</si>
  <si>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</si>
  <si>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</si>
  <si>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</si>
  <si>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</si>
  <si>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</si>
  <si>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</si>
  <si>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</si>
  <si>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</si>
  <si>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</si>
  <si>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</si>
  <si>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</si>
  <si>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</si>
  <si>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</si>
  <si>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</si>
  <si>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</si>
  <si>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</si>
  <si>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</si>
  <si>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</si>
  <si>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</si>
  <si>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</si>
  <si>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</si>
  <si>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</si>
  <si>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</si>
  <si>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</si>
  <si>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</si>
  <si>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</si>
  <si>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</si>
  <si>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</si>
  <si>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</si>
  <si>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</si>
  <si>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</si>
  <si>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</si>
  <si>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</si>
  <si>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</si>
  <si>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</si>
  <si>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</si>
  <si>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</si>
  <si>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</si>
  <si>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</si>
  <si>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</si>
  <si>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</si>
  <si>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</si>
  <si>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</si>
  <si>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</si>
  <si>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</si>
  <si>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</si>
  <si>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</si>
  <si>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</si>
  <si>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</si>
  <si>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</si>
  <si>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</si>
  <si>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</si>
  <si>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</si>
  <si>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</si>
  <si>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</si>
  <si>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</si>
  <si>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</si>
  <si>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</si>
  <si>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</si>
  <si>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</si>
  <si>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</si>
  <si>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</si>
  <si>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</si>
  <si>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</si>
  <si>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</si>
  <si>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</si>
  <si>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</si>
  <si>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</si>
  <si>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</si>
  <si>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</si>
  <si>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</si>
  <si>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</si>
  <si>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</si>
  <si>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</si>
  <si>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</si>
  <si>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</si>
  <si>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</si>
  <si>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</si>
  <si>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</si>
  <si>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</si>
  <si>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</si>
  <si>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</si>
  <si>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</si>
  <si>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</si>
  <si>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</si>
  <si>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</si>
  <si>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</si>
  <si>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</si>
  <si>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</si>
  <si>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</si>
  <si>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</si>
  <si>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</si>
  <si>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</si>
  <si>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</si>
  <si>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</si>
  <si>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</si>
  <si>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</si>
  <si>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</si>
  <si>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</si>
  <si>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</si>
  <si>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</si>
  <si>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</si>
  <si>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</si>
  <si>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</si>
  <si>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</si>
  <si>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</si>
  <si>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</si>
  <si>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</si>
  <si>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</si>
  <si>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</si>
  <si>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</si>
  <si>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</si>
  <si>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</si>
  <si>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</si>
  <si>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</si>
  <si>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</si>
  <si>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</si>
  <si>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</si>
  <si>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</si>
  <si>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</si>
  <si>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</si>
  <si>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</si>
  <si>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</si>
  <si>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</si>
  <si>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</si>
  <si>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</si>
  <si>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</si>
  <si>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</si>
  <si>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</si>
  <si>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</si>
  <si>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</si>
  <si>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</si>
  <si>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</si>
  <si>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</si>
  <si>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</si>
  <si>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</si>
  <si>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</si>
  <si>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</si>
  <si>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</si>
  <si>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</si>
  <si>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</si>
  <si>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</si>
  <si>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</si>
  <si>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</si>
  <si>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</si>
  <si>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</si>
  <si>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</si>
  <si>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</si>
  <si>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</si>
  <si>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</si>
  <si>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</si>
  <si>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</si>
  <si>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</si>
  <si>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</si>
  <si>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</si>
  <si>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</si>
  <si>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</si>
  <si>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</si>
  <si>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</si>
  <si>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</si>
  <si>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</si>
  <si>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</si>
  <si>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</si>
  <si>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</si>
  <si>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</si>
  <si>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</si>
  <si>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</si>
  <si>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</si>
  <si>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</si>
  <si>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</si>
  <si>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</si>
  <si>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</si>
  <si>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</si>
  <si>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</si>
  <si>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</si>
  <si>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</si>
  <si>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</si>
  <si>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</si>
  <si>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</si>
  <si>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</si>
  <si>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</si>
  <si>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</si>
  <si>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</si>
  <si>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</si>
  <si>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</si>
  <si>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</si>
  <si>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</si>
  <si>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</si>
  <si>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</si>
  <si>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</si>
  <si>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</si>
  <si>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</si>
  <si>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</si>
  <si>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</si>
  <si>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</si>
  <si>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</si>
  <si>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</si>
  <si>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</si>
  <si>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</si>
  <si>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</si>
  <si>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</si>
  <si>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</si>
  <si>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</si>
  <si>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</si>
  <si>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</si>
  <si>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</si>
  <si>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</si>
  <si>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</si>
  <si>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</si>
  <si>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</si>
  <si>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</si>
  <si>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</si>
  <si>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</si>
  <si>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</si>
  <si>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</si>
  <si>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</si>
  <si>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</si>
  <si>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</si>
  <si>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</si>
  <si>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</si>
  <si>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</si>
  <si>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</si>
  <si>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</si>
  <si>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</si>
  <si>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</si>
  <si>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</si>
  <si>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</si>
  <si>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</si>
  <si>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</si>
  <si>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</si>
  <si>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</si>
  <si>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</si>
  <si>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</si>
  <si>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</si>
  <si>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</si>
  <si>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</si>
  <si>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</si>
  <si>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</si>
  <si>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</si>
  <si>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</si>
  <si>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</si>
  <si>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</si>
  <si>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</si>
  <si>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</si>
  <si>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</si>
  <si>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</si>
  <si>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</si>
  <si>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</si>
  <si>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</si>
  <si>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</si>
  <si>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</si>
  <si>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</si>
  <si>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</si>
  <si>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</si>
  <si>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</si>
  <si>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</si>
  <si>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</si>
  <si>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</si>
  <si>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</si>
  <si>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</si>
  <si>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</si>
  <si>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</si>
  <si>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</si>
  <si>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</si>
  <si>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</si>
  <si>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</si>
  <si>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</si>
  <si>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</si>
  <si>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</si>
  <si>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</si>
  <si>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</si>
  <si>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</si>
  <si>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</si>
  <si>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</si>
  <si>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</si>
  <si>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</si>
  <si>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</si>
  <si>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</si>
  <si>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</si>
  <si>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</si>
  <si>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</si>
  <si>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</si>
  <si>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</si>
  <si>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</si>
  <si>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</si>
  <si>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</si>
  <si>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</si>
  <si>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</si>
  <si>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</si>
  <si>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</si>
  <si>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</si>
  <si>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</si>
  <si>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</si>
  <si>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</si>
  <si>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</si>
  <si>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</si>
  <si>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</si>
  <si>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</si>
  <si>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</si>
  <si>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</si>
  <si>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</si>
  <si>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</si>
  <si>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</si>
  <si>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</si>
  <si>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</si>
  <si>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</si>
  <si>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</si>
  <si>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</si>
  <si>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</si>
  <si>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</si>
  <si>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</si>
  <si>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</si>
  <si>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</si>
  <si>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</si>
  <si>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</si>
  <si>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</si>
  <si>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</si>
  <si>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</si>
  <si>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</si>
  <si>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</si>
  <si>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</si>
  <si>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</si>
  <si>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</si>
  <si>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</si>
  <si>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</si>
  <si>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</si>
  <si>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</si>
  <si>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</si>
  <si>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</si>
  <si>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</si>
  <si>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</si>
  <si>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</si>
  <si>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</si>
  <si>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</si>
  <si>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</si>
  <si>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</si>
  <si>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</si>
  <si>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</si>
  <si>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</si>
  <si>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</si>
  <si>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</si>
  <si>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</si>
  <si>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</si>
  <si>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</si>
  <si>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</si>
  <si>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</si>
  <si>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</si>
  <si>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</si>
  <si>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</si>
  <si>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</si>
  <si>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</si>
  <si>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</si>
  <si>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</si>
  <si>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</si>
  <si>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</si>
  <si>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</si>
  <si>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</si>
  <si>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</si>
  <si>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</si>
  <si>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</si>
  <si>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</si>
  <si>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</si>
  <si>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</si>
  <si>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</si>
  <si>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</si>
  <si>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</si>
  <si>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</si>
  <si>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</si>
  <si>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</si>
  <si>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</si>
  <si>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</si>
  <si>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</si>
  <si>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</si>
  <si>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</si>
  <si>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</si>
  <si>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</si>
  <si>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</si>
  <si>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</si>
  <si>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</si>
  <si>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</si>
  <si>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</si>
  <si>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</si>
  <si>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</si>
  <si>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</si>
  <si>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</si>
  <si>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</si>
  <si>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</si>
  <si>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</si>
  <si>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</si>
  <si>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</si>
  <si>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</si>
  <si>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</si>
  <si>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</si>
  <si>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</si>
  <si>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</si>
  <si>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</si>
  <si>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</si>
  <si>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</si>
  <si>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</si>
  <si>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</si>
  <si>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</si>
  <si>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</si>
  <si>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</si>
  <si>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</si>
  <si>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</si>
  <si>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</si>
  <si>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</si>
  <si>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</si>
  <si>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</si>
  <si>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</si>
  <si>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</si>
  <si>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</si>
  <si>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</si>
  <si>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</si>
  <si>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</si>
  <si>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</si>
  <si>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</si>
  <si>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</si>
  <si>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</si>
  <si>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</si>
  <si>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</si>
  <si>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</si>
  <si>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</si>
  <si>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</si>
  <si>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</si>
  <si>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</si>
  <si>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</si>
  <si>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</si>
  <si>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</si>
  <si>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</si>
  <si>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</si>
  <si>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</si>
  <si>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</si>
  <si>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</si>
  <si>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</si>
  <si>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</si>
  <si>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</si>
  <si>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</si>
  <si>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</si>
  <si>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</si>
  <si>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</si>
  <si>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</si>
  <si>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</si>
  <si>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</si>
  <si>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</si>
  <si>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</si>
  <si>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</si>
  <si>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</si>
  <si>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</si>
  <si>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</si>
  <si>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</si>
  <si>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</si>
  <si>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</si>
  <si>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</si>
  <si>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</si>
  <si>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</si>
  <si>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</si>
  <si>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</si>
  <si>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</si>
  <si>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</si>
  <si>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</si>
  <si>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</si>
  <si>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</si>
  <si>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</si>
  <si>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</si>
  <si>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</si>
  <si>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</si>
  <si>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</si>
  <si>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</si>
  <si>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</si>
  <si>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</si>
  <si>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</si>
  <si>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</si>
  <si>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</si>
  <si>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</si>
  <si>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</si>
  <si>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</si>
  <si>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</si>
  <si>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</si>
  <si>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</si>
  <si>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</si>
  <si>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</si>
  <si>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</si>
  <si>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</si>
  <si>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</si>
  <si>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</si>
  <si>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</si>
  <si>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</si>
  <si>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</si>
  <si>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</si>
  <si>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</si>
  <si>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</si>
  <si>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</si>
  <si>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</si>
  <si>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</si>
  <si>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</si>
  <si>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</si>
  <si>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</si>
  <si>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</si>
  <si>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</si>
  <si>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</si>
  <si>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</si>
  <si>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</si>
  <si>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</si>
  <si>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</si>
  <si>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</si>
  <si>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</si>
  <si>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</si>
  <si>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</si>
  <si>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</si>
  <si>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</si>
  <si>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</si>
  <si>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</si>
  <si>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</si>
  <si>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</si>
  <si>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</si>
  <si>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</si>
  <si>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</si>
  <si>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</si>
  <si>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</si>
  <si>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</si>
  <si>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</si>
  <si>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</si>
  <si>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</si>
  <si>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</si>
  <si>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</si>
  <si>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</si>
  <si>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</si>
  <si>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</si>
  <si>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</si>
  <si>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</si>
  <si>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</si>
  <si>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</si>
  <si>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</si>
  <si>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</si>
  <si>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</si>
  <si>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</si>
  <si>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</si>
  <si>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</si>
  <si>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</si>
  <si>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</si>
  <si>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</si>
  <si>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</si>
  <si>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</si>
  <si>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</si>
  <si>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</si>
  <si>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</si>
  <si>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</si>
  <si>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</si>
  <si>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</si>
  <si>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</si>
  <si>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</si>
  <si>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</si>
  <si>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</si>
  <si>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</si>
  <si>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</si>
  <si>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</si>
  <si>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</si>
  <si>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</si>
  <si>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</si>
  <si>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</si>
  <si>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</si>
  <si>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</si>
  <si>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</si>
  <si>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</si>
  <si>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</si>
  <si>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</si>
  <si>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</si>
  <si>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</si>
  <si>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</si>
  <si>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</si>
  <si>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</si>
  <si>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</si>
  <si>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</si>
  <si>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</si>
  <si>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</si>
  <si>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</si>
  <si>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</si>
  <si>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</si>
  <si>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</si>
  <si>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</si>
  <si>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</si>
  <si>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</si>
  <si>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</si>
  <si>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</si>
  <si>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</si>
  <si>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</si>
  <si>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</si>
  <si>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</si>
  <si>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</si>
  <si>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</si>
  <si>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</si>
  <si>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</si>
  <si>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</si>
  <si>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</si>
  <si>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</si>
  <si>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</si>
  <si>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</si>
  <si>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</si>
  <si>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</si>
  <si>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</si>
  <si>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</si>
  <si>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</si>
  <si>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</si>
  <si>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</si>
  <si>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</si>
  <si>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</si>
  <si>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</si>
  <si>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</si>
  <si>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</si>
  <si>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</si>
  <si>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</si>
  <si>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</si>
  <si>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</si>
  <si>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</si>
  <si>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</si>
  <si>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</si>
  <si>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</si>
  <si>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</si>
  <si>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</si>
  <si>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</si>
  <si>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</si>
  <si>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</si>
  <si>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</si>
  <si>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</si>
  <si>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</si>
  <si>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</si>
  <si>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</si>
  <si>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</si>
  <si>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</si>
  <si>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</si>
  <si>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</si>
  <si>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</si>
  <si>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</si>
  <si>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</si>
  <si>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</si>
  <si>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</si>
  <si>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</si>
  <si>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</si>
  <si>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</si>
  <si>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</si>
  <si>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</si>
  <si>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</si>
  <si>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</si>
  <si>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</si>
  <si>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</si>
  <si>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</si>
  <si>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</si>
  <si>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</si>
  <si>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</si>
  <si>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</si>
  <si>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</si>
  <si>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</si>
  <si>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</si>
  <si>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</si>
  <si>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</si>
  <si>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</si>
  <si>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</si>
  <si>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</si>
  <si>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</si>
  <si>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</si>
  <si>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</si>
  <si>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</si>
  <si>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</si>
  <si>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</si>
  <si>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</si>
  <si>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</si>
  <si>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</si>
  <si>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</si>
  <si>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</si>
  <si>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</si>
  <si>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</si>
  <si>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</si>
  <si>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</si>
  <si>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</si>
  <si>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</si>
  <si>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</si>
  <si>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</si>
  <si>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</si>
  <si>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</si>
  <si>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</si>
  <si>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</si>
  <si>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</si>
  <si>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</si>
  <si>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</si>
  <si>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</si>
  <si>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</si>
  <si>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</si>
  <si>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</si>
  <si>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</si>
  <si>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</si>
  <si>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</si>
  <si>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</si>
  <si>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</si>
  <si>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</si>
  <si>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</si>
  <si>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</si>
  <si>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</si>
  <si>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</si>
  <si>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</si>
  <si>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</si>
  <si>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</si>
  <si>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</si>
  <si>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</si>
  <si>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</si>
  <si>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</si>
  <si>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</si>
  <si>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</si>
  <si>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</si>
  <si>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</si>
  <si>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</si>
  <si>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</si>
  <si>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</si>
  <si>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</si>
  <si>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</si>
  <si>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</si>
  <si>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</si>
  <si>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</si>
  <si>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</si>
  <si>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</si>
  <si>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</si>
  <si>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</si>
  <si>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</si>
  <si>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</si>
  <si>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</si>
  <si>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</si>
  <si>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</si>
  <si>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</si>
  <si>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</si>
  <si>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</si>
  <si>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</si>
  <si>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</si>
  <si>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</si>
  <si>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</si>
  <si>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</si>
  <si>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</si>
  <si>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</si>
  <si>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</si>
  <si>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</si>
  <si>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</si>
  <si>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</si>
  <si>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</si>
  <si>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</si>
  <si>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</si>
  <si>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</si>
  <si>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</si>
  <si>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</si>
  <si>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</si>
  <si>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</si>
  <si>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</si>
  <si>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</si>
  <si>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</si>
  <si>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</si>
  <si>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</si>
  <si>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</si>
  <si>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</si>
  <si>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</si>
  <si>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</si>
  <si>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</si>
  <si>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</si>
  <si>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</si>
  <si>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</si>
  <si>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</si>
  <si>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</si>
  <si>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</si>
  <si>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</si>
  <si>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</si>
  <si>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</si>
  <si>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</si>
  <si>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</si>
  <si>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</si>
  <si>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</si>
  <si>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</si>
  <si>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</si>
  <si>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</si>
  <si>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</si>
  <si>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</si>
  <si>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</si>
  <si>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</si>
  <si>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</si>
  <si>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</si>
  <si>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</si>
  <si>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</si>
  <si>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</si>
  <si>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</si>
  <si>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</si>
  <si>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</si>
  <si>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</si>
  <si>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</si>
  <si>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</si>
  <si>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</si>
  <si>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</si>
  <si>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</si>
  <si>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</si>
  <si>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</si>
  <si>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</si>
  <si>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</si>
  <si>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</si>
  <si>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</si>
  <si>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</si>
  <si>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</si>
  <si>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</si>
  <si>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</si>
  <si>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</si>
  <si>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</si>
  <si>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</si>
  <si>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</si>
  <si>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</si>
  <si>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</si>
  <si>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</si>
  <si>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</si>
  <si>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</si>
  <si>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</si>
  <si>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</si>
  <si>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</si>
  <si>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</si>
  <si>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</si>
  <si>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</si>
  <si>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</si>
  <si>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</si>
  <si>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</si>
  <si>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</si>
  <si>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</si>
  <si>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</si>
  <si>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</si>
  <si>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</si>
  <si>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</si>
  <si>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</si>
  <si>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</si>
  <si>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</si>
  <si>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</si>
  <si>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</si>
  <si>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</si>
  <si>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</si>
  <si>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</si>
  <si>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</si>
  <si>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</si>
  <si>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</si>
  <si>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</si>
  <si>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</si>
  <si>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</si>
  <si>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</si>
  <si>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</si>
  <si>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</si>
  <si>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</si>
  <si>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</si>
  <si>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</si>
  <si>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</si>
  <si>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</si>
  <si>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</si>
  <si>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</si>
  <si>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</si>
  <si>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</si>
  <si>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</si>
  <si>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</si>
  <si>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</si>
  <si>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</si>
  <si>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</si>
  <si>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</si>
  <si>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</si>
  <si>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</si>
  <si>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</si>
  <si>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</si>
  <si>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</si>
  <si>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</si>
  <si>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</si>
  <si>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</si>
  <si>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</si>
  <si>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</si>
  <si>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</si>
  <si>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</si>
  <si>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</si>
  <si>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</si>
  <si>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</si>
  <si>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</si>
  <si>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</si>
  <si>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</si>
  <si>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</si>
  <si>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</si>
  <si>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</si>
  <si>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</si>
  <si>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</si>
  <si>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</si>
  <si>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</si>
  <si>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</si>
  <si>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</si>
  <si>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</si>
  <si>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</si>
  <si>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</si>
  <si>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</si>
  <si>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</si>
  <si>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</si>
  <si>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</si>
  <si>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</si>
  <si>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</si>
  <si>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</si>
  <si>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</si>
  <si>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</si>
  <si>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</si>
  <si>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</si>
  <si>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</si>
  <si>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</si>
  <si>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</si>
  <si>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</si>
  <si>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</si>
  <si>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</si>
  <si>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</si>
  <si>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</si>
  <si>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</si>
  <si>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</si>
  <si>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</si>
  <si>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</si>
  <si>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</si>
  <si>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</si>
  <si>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</si>
  <si>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</si>
  <si>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</si>
  <si>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</si>
  <si>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</si>
  <si>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</si>
  <si>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</si>
  <si>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</si>
  <si>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</si>
  <si>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</si>
  <si>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</si>
  <si>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</si>
  <si>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</si>
  <si>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</si>
  <si>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</si>
  <si>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</si>
  <si>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</si>
  <si>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</si>
  <si>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</si>
  <si>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</si>
  <si>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</si>
  <si>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</si>
  <si>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</si>
  <si>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</si>
  <si>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</si>
  <si>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</si>
  <si>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</si>
  <si>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</si>
  <si>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</si>
  <si>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</si>
  <si>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</si>
  <si>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</si>
  <si>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</si>
  <si>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</si>
  <si>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</si>
  <si>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</si>
  <si>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</si>
  <si>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</si>
  <si>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</si>
  <si>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</si>
  <si>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</si>
  <si>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</si>
  <si>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</si>
  <si>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</si>
  <si>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</si>
  <si>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</si>
  <si>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</si>
  <si>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</si>
  <si>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</si>
  <si>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</si>
  <si>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</si>
  <si>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</si>
  <si>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</si>
  <si>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</si>
  <si>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</si>
  <si>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</si>
  <si>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</si>
  <si>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</si>
  <si>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</si>
  <si>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</si>
  <si>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</si>
  <si>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</si>
  <si>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</si>
  <si>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</si>
  <si>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</si>
  <si>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</si>
  <si>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</si>
  <si>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</si>
  <si>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</si>
  <si>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</si>
  <si>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</si>
  <si>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</si>
  <si>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</si>
  <si>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</si>
  <si>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</si>
  <si>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</si>
  <si>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</si>
  <si>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</si>
  <si>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</si>
  <si>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</si>
  <si>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</si>
  <si>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</si>
  <si>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</si>
  <si>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</si>
  <si>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</si>
  <si>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</si>
  <si>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</si>
  <si>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</si>
  <si>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</si>
  <si>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</si>
  <si>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</si>
  <si>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</si>
  <si>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</si>
  <si>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</si>
  <si>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</si>
  <si>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</si>
  <si>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</si>
  <si>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</si>
  <si>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</si>
  <si>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</si>
  <si>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</si>
  <si>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</si>
  <si>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</si>
  <si>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</si>
  <si>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</si>
  <si>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</si>
  <si>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</si>
  <si>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</si>
  <si>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</si>
  <si>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</si>
  <si>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</si>
  <si>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</si>
  <si>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</si>
  <si>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</si>
  <si>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</si>
  <si>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</si>
  <si>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</si>
  <si>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</si>
  <si>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</si>
  <si>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</si>
  <si>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</si>
  <si>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</si>
  <si>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</si>
  <si>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</si>
  <si>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</si>
  <si>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</si>
  <si>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</si>
  <si>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</si>
  <si>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</si>
  <si>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</si>
  <si>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</si>
  <si>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</si>
  <si>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</si>
  <si>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</si>
  <si>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</si>
  <si>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</si>
  <si>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</si>
  <si>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</si>
  <si>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</si>
  <si>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</si>
  <si>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</si>
  <si>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</si>
  <si>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</si>
  <si>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</si>
  <si>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</si>
  <si>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</si>
  <si>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</si>
  <si>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</si>
  <si>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</si>
  <si>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</si>
  <si>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</si>
  <si>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</si>
  <si>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</si>
  <si>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</si>
  <si>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</si>
  <si>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</si>
  <si>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</si>
  <si>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</si>
  <si>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</si>
  <si>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</si>
  <si>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</si>
  <si>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</si>
  <si>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</si>
  <si>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</si>
  <si>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</si>
  <si>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</si>
  <si>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</si>
  <si>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</si>
  <si>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</si>
  <si>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</si>
  <si>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</si>
  <si>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</si>
  <si>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</si>
  <si>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</si>
  <si>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</si>
  <si>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</si>
  <si>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</si>
  <si>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</si>
  <si>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</si>
  <si>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</si>
  <si>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</si>
  <si>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</si>
  <si>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</si>
  <si>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</si>
  <si>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</si>
  <si>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</si>
  <si>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</si>
  <si>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</si>
  <si>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</si>
  <si>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</si>
  <si>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</si>
  <si>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</si>
  <si>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</si>
  <si>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</si>
  <si>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</si>
  <si>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</si>
  <si>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</si>
  <si>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</si>
  <si>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</si>
  <si>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</si>
  <si>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</si>
  <si>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</si>
  <si>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</si>
  <si>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</si>
  <si>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</si>
  <si>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</si>
  <si>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</si>
  <si>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</si>
  <si>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</si>
  <si>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</si>
  <si>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</si>
  <si>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</si>
  <si>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</si>
  <si>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</si>
  <si>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</si>
  <si>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</si>
  <si>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</si>
  <si>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</si>
  <si>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</si>
  <si>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</si>
  <si>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</si>
  <si>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</si>
  <si>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</si>
  <si>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</si>
  <si>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</si>
  <si>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</si>
  <si>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</si>
  <si>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</si>
  <si>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</si>
  <si>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</si>
  <si>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</si>
  <si>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</si>
  <si>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</si>
  <si>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</si>
  <si>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</si>
  <si>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</si>
  <si>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</si>
  <si>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</si>
  <si>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</si>
  <si>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</si>
  <si>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</si>
  <si>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</si>
  <si>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</si>
  <si>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</si>
  <si>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</si>
  <si>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</si>
  <si>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</si>
  <si>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</si>
  <si>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</si>
  <si>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</si>
  <si>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</si>
  <si>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</si>
  <si>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</si>
  <si>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</si>
  <si>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</si>
  <si>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</si>
  <si>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</si>
  <si>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</si>
  <si>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</si>
  <si>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</si>
  <si>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</si>
  <si>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</si>
  <si>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</si>
  <si>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</si>
  <si>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</si>
  <si>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</si>
  <si>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</si>
  <si>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</si>
  <si>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</si>
  <si>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</si>
  <si>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</si>
  <si>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</si>
  <si>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</si>
  <si>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</si>
  <si>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</si>
  <si>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</si>
  <si>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</si>
  <si>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</si>
  <si>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</si>
  <si>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</si>
  <si>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</si>
  <si>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</si>
  <si>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</si>
  <si>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</si>
  <si>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</si>
  <si>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</si>
  <si>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</si>
  <si>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</si>
  <si>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</si>
  <si>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</si>
  <si>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</si>
  <si>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</si>
  <si>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</si>
  <si>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</si>
  <si>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</si>
  <si>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</si>
  <si>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</si>
  <si>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</si>
  <si>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</si>
  <si>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</si>
  <si>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</si>
  <si>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</si>
  <si>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</si>
  <si>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</si>
  <si>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</si>
  <si>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</si>
  <si>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</si>
  <si>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</si>
  <si>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</si>
  <si>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</si>
  <si>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</si>
  <si>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</si>
  <si>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</si>
  <si>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</si>
  <si>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</si>
  <si>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</si>
  <si>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</si>
  <si>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</si>
  <si>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</si>
  <si>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</si>
  <si>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</si>
  <si>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</si>
  <si>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</si>
  <si>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</si>
  <si>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</si>
  <si>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</si>
  <si>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</si>
  <si>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</si>
  <si>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</si>
  <si>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</si>
  <si>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</si>
  <si>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</si>
  <si>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</si>
  <si>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</si>
  <si>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</si>
  <si>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</si>
  <si>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</si>
  <si>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</si>
  <si>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</si>
  <si>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</si>
  <si>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</si>
  <si>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</si>
  <si>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</si>
  <si>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</si>
  <si>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</si>
  <si>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</si>
  <si>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</si>
  <si>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</si>
  <si>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</si>
  <si>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</si>
  <si>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</si>
  <si>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</si>
  <si>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</si>
  <si>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</si>
  <si>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</si>
  <si>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</si>
  <si>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</si>
  <si>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</si>
  <si>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</si>
  <si>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</si>
  <si>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</si>
  <si>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</si>
  <si>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</si>
  <si>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</si>
  <si>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</si>
  <si>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</si>
  <si>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</si>
  <si>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</si>
  <si>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</si>
  <si>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</si>
  <si>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</si>
  <si>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</si>
  <si>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</si>
  <si>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</si>
  <si>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</si>
  <si>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</si>
  <si>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</si>
  <si>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</si>
  <si>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</si>
  <si>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</si>
  <si>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</si>
  <si>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</si>
  <si>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</si>
  <si>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</si>
  <si>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</si>
  <si>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</si>
  <si>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</si>
  <si>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</si>
  <si>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</si>
  <si>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</si>
  <si>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</si>
  <si>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</si>
  <si>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</si>
  <si>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</si>
  <si>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</si>
  <si>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</si>
  <si>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</si>
  <si>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</si>
  <si>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</si>
  <si>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</si>
  <si>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</si>
  <si>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</si>
  <si>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</si>
  <si>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</si>
  <si>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</si>
  <si>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</si>
  <si>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</si>
  <si>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</si>
  <si>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</si>
  <si>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</si>
  <si>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</si>
  <si>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</si>
  <si>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</si>
  <si>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</si>
  <si>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</si>
  <si>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</si>
  <si>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</si>
  <si>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</si>
  <si>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</si>
  <si>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</si>
  <si>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</si>
  <si>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</si>
  <si>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</si>
  <si>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</si>
  <si>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</si>
  <si>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</si>
  <si>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</si>
  <si>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</si>
  <si>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</si>
  <si>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</si>
  <si>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</si>
  <si>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</si>
  <si>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</si>
  <si>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</si>
  <si>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</si>
  <si>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</si>
  <si>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</si>
  <si>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</si>
  <si>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</si>
  <si>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</si>
  <si>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</si>
  <si>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</si>
  <si>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</si>
  <si>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</si>
  <si>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</si>
  <si>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</si>
  <si>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</si>
  <si>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</si>
  <si>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</si>
  <si>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</si>
  <si>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</si>
  <si>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</si>
  <si>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</si>
  <si>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</si>
  <si>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</si>
  <si>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</si>
  <si>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</si>
  <si>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</si>
  <si>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</si>
  <si>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</si>
  <si>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</si>
  <si>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</si>
  <si>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</si>
  <si>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</si>
  <si>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</si>
  <si>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</si>
  <si>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</si>
  <si>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</si>
  <si>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</si>
  <si>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</si>
  <si>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</si>
  <si>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</si>
  <si>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</si>
  <si>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</si>
  <si>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</si>
  <si>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</si>
  <si>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</si>
  <si>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</si>
  <si>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</si>
  <si>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</si>
  <si>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</si>
  <si>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</si>
  <si>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</si>
  <si>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</si>
  <si>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</si>
  <si>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</si>
  <si>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</si>
  <si>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</si>
  <si>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</si>
  <si>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</si>
  <si>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</si>
  <si>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</si>
  <si>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</si>
  <si>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</si>
  <si>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</si>
  <si>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</si>
  <si>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</si>
  <si>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</si>
  <si>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</si>
  <si>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</si>
  <si>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</si>
  <si>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</si>
  <si>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</si>
  <si>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</si>
  <si>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</si>
  <si>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</si>
  <si>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</si>
  <si>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</si>
  <si>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</si>
  <si>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</si>
  <si>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</si>
  <si>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</si>
  <si>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</si>
  <si>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</si>
  <si>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</si>
  <si>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</si>
  <si>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</si>
  <si>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</si>
  <si>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</si>
  <si>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</si>
  <si>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</si>
  <si>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</si>
  <si>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</si>
  <si>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</si>
  <si>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</si>
  <si>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</si>
  <si>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</si>
  <si>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</si>
  <si>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</si>
  <si>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</si>
  <si>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</si>
  <si>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</si>
  <si>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</si>
  <si>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</si>
  <si>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</si>
  <si>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</si>
  <si>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</si>
  <si>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</si>
  <si>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</si>
  <si>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</si>
  <si>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</si>
  <si>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</si>
  <si>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</si>
  <si>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</si>
  <si>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</si>
  <si>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</si>
  <si>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</si>
  <si>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</si>
  <si>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</si>
  <si>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</si>
  <si>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</si>
  <si>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</si>
  <si>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</si>
  <si>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</si>
  <si>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</si>
  <si>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</si>
  <si>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</si>
  <si>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</si>
  <si>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</si>
  <si>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</si>
  <si>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</si>
  <si>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</si>
  <si>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</si>
  <si>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</si>
  <si>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</si>
  <si>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</si>
  <si>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</si>
  <si>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</si>
  <si>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</si>
  <si>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</si>
  <si>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</si>
  <si>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</si>
  <si>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</si>
  <si>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</si>
  <si>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</si>
  <si>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</si>
  <si>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</si>
  <si>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</si>
  <si>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</si>
  <si>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</si>
  <si>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</si>
  <si>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</si>
  <si>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</si>
  <si>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</si>
  <si>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</si>
  <si>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</si>
  <si>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</si>
  <si>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</si>
  <si>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</si>
  <si>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</si>
  <si>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</si>
  <si>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</si>
  <si>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</si>
  <si>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</si>
  <si>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</si>
  <si>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</si>
  <si>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</si>
  <si>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</si>
  <si>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</si>
  <si>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</si>
  <si>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</si>
  <si>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</si>
  <si>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</si>
  <si>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</si>
  <si>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</si>
  <si>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</si>
  <si>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</si>
  <si>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</si>
  <si>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</si>
  <si>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</si>
  <si>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</si>
  <si>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</si>
  <si>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</si>
  <si>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</si>
  <si>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</si>
  <si>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</si>
  <si>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</si>
  <si>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</si>
  <si>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</si>
  <si>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</si>
  <si>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</si>
  <si>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</si>
  <si>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</si>
  <si>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</si>
  <si>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</si>
  <si>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</si>
  <si>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</si>
  <si>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</si>
  <si>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</si>
  <si>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</si>
  <si>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</si>
  <si>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</si>
  <si>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</si>
  <si>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</si>
  <si>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</si>
  <si>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</si>
  <si>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</si>
  <si>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</si>
  <si>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</si>
  <si>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</si>
  <si>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</si>
  <si>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</si>
  <si>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</si>
  <si>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</si>
  <si>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</si>
  <si>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</si>
  <si>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</si>
  <si>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</si>
  <si>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</si>
  <si>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</si>
  <si>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</si>
  <si>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</si>
  <si>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</si>
  <si>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</si>
  <si>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</si>
  <si>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</si>
  <si>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</si>
  <si>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</si>
  <si>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</si>
  <si>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</si>
  <si>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</si>
  <si>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</si>
  <si>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</si>
  <si>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</si>
  <si>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</si>
  <si>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</si>
  <si>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</si>
  <si>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</si>
  <si>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</si>
  <si>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</si>
  <si>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</si>
  <si>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</si>
  <si>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</si>
  <si>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</si>
  <si>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</si>
  <si>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</si>
  <si>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</si>
  <si>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</si>
  <si>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</si>
  <si>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</si>
  <si>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</si>
  <si>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</si>
  <si>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</si>
  <si>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</si>
  <si>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</si>
  <si>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</si>
  <si>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</si>
  <si>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</si>
  <si>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</si>
  <si>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</si>
  <si>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</si>
  <si>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</si>
  <si>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</si>
  <si>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</si>
  <si>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</si>
  <si>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</si>
  <si>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</si>
  <si>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</si>
  <si>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</si>
  <si>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</si>
  <si>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</si>
  <si>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</si>
  <si>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</si>
  <si>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</si>
  <si>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</si>
  <si>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</si>
  <si>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</si>
  <si>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</si>
  <si>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</si>
  <si>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</si>
  <si>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</si>
  <si>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</si>
  <si>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</si>
  <si>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</si>
  <si>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</si>
  <si>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</si>
  <si>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</si>
  <si>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</si>
  <si>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</si>
  <si>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</si>
  <si>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</si>
  <si>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</si>
  <si>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</si>
  <si>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</si>
  <si>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</si>
  <si>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</si>
  <si>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</si>
  <si>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</si>
  <si>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</si>
  <si>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</si>
  <si>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</si>
  <si>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</si>
  <si>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</si>
  <si>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</si>
  <si>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</si>
  <si>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</si>
  <si>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</si>
  <si>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</si>
  <si>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</si>
  <si>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</si>
  <si>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</si>
  <si>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</si>
  <si>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</si>
  <si>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</si>
  <si>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</si>
  <si>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</si>
  <si>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</si>
  <si>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</si>
  <si>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</si>
  <si>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</si>
  <si>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</si>
  <si>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</si>
  <si>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</si>
  <si>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</si>
  <si>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</si>
  <si>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</si>
  <si>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</si>
  <si>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</si>
  <si>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</si>
  <si>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</si>
  <si>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</si>
  <si>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</si>
  <si>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</si>
  <si>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</si>
  <si>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</si>
  <si>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</si>
  <si>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</si>
  <si>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</si>
  <si>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</si>
  <si>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</si>
  <si>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</si>
  <si>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</si>
  <si>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</si>
  <si>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</si>
  <si>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</si>
  <si>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</si>
  <si>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</si>
  <si>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</si>
  <si>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</si>
  <si>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</si>
  <si>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</si>
  <si>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</si>
  <si>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</si>
  <si>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</si>
  <si>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</si>
  <si>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</si>
  <si>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</si>
  <si>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</si>
  <si>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</si>
  <si>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</si>
  <si>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</si>
  <si>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</si>
  <si>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</si>
  <si>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</si>
  <si>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</si>
  <si>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</si>
  <si>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</si>
  <si>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</si>
  <si>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</si>
  <si>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</si>
  <si>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</si>
  <si>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</si>
  <si>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</si>
  <si>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</si>
  <si>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</si>
  <si>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</si>
  <si>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</si>
  <si>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</si>
  <si>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</si>
  <si>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</si>
  <si>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</si>
  <si>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</si>
  <si>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</si>
  <si>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</si>
  <si>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</si>
  <si>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</si>
  <si>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</si>
  <si>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</si>
  <si>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</si>
  <si>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</si>
  <si>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</si>
  <si>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</si>
  <si>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</si>
  <si>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</si>
  <si>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</si>
  <si>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</si>
  <si>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</si>
  <si>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</si>
  <si>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</si>
  <si>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</si>
  <si>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</si>
  <si>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</si>
  <si>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</si>
  <si>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</si>
  <si>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</si>
  <si>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</si>
  <si>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</si>
  <si>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</si>
  <si>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</si>
  <si>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</si>
  <si>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</si>
  <si>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</si>
  <si>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</si>
  <si>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</si>
  <si>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</si>
  <si>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</si>
  <si>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</si>
  <si>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</si>
  <si>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</si>
  <si>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</si>
  <si>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</si>
  <si>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</si>
  <si>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</si>
  <si>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</si>
  <si>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</si>
  <si>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</si>
  <si>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</si>
  <si>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</si>
  <si>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</si>
  <si>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</si>
  <si>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</si>
  <si>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</si>
  <si>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</si>
  <si>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</si>
  <si>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</si>
  <si>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</si>
  <si>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</si>
  <si>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</si>
  <si>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</si>
  <si>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</si>
  <si>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</si>
  <si>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</si>
  <si>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</si>
  <si>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</si>
  <si>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</si>
  <si>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</si>
  <si>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</si>
  <si>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</si>
  <si>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</si>
  <si>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</si>
  <si>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</si>
  <si>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</si>
  <si>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</si>
  <si>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</si>
  <si>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</si>
  <si>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</si>
  <si>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</si>
  <si>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</si>
  <si>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</si>
  <si>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</si>
  <si>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</si>
  <si>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</si>
  <si>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</si>
  <si>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</si>
  <si>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</si>
  <si>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</si>
  <si>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</si>
  <si>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</si>
  <si>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</si>
  <si>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</si>
  <si>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</si>
  <si>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</si>
  <si>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</si>
  <si>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</si>
  <si>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</si>
  <si>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</si>
  <si>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</si>
  <si>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</si>
  <si>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</si>
  <si>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</si>
  <si>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</si>
  <si>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</si>
  <si>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</si>
  <si>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</si>
  <si>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</si>
  <si>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</si>
  <si>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</si>
  <si>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</si>
  <si>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</si>
  <si>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</si>
  <si>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</si>
  <si>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</si>
  <si>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</si>
  <si>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</si>
  <si>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</si>
  <si>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</si>
  <si>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</si>
  <si>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</si>
  <si>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</si>
  <si>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</si>
  <si>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</si>
  <si>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</si>
  <si>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</si>
  <si>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</si>
  <si>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</si>
  <si>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</si>
  <si>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</si>
  <si>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</si>
  <si>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</si>
  <si>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</si>
  <si>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</si>
  <si>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</si>
  <si>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</si>
  <si>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</si>
  <si>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</si>
  <si>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</si>
  <si>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</si>
  <si>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</si>
  <si>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</si>
  <si>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</si>
  <si>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</si>
  <si>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</si>
  <si>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</si>
  <si>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</si>
  <si>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</si>
  <si>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</si>
  <si>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</si>
  <si>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</si>
  <si>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</si>
  <si>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</si>
  <si>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</si>
  <si>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</si>
  <si>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</si>
  <si>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</si>
  <si>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</si>
  <si>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</si>
  <si>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</si>
  <si>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</si>
  <si>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</si>
  <si>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</si>
  <si>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</si>
  <si>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</si>
  <si>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</si>
  <si>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</si>
  <si>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</si>
  <si>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</si>
  <si>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</si>
  <si>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</si>
  <si>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</si>
  <si>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</si>
  <si>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</si>
  <si>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</si>
  <si>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</si>
  <si>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</si>
  <si>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</si>
  <si>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</si>
  <si>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</si>
  <si>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</si>
  <si>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</si>
  <si>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</si>
  <si>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</si>
  <si>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</si>
  <si>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</si>
  <si>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</si>
  <si>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</si>
  <si>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</si>
  <si>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</si>
  <si>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</si>
  <si>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</si>
  <si>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</si>
  <si>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</si>
  <si>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</si>
  <si>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</si>
  <si>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</si>
  <si>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</si>
  <si>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</si>
  <si>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</si>
  <si>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</si>
  <si>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</si>
  <si>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</si>
  <si>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</si>
  <si>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</si>
  <si>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</si>
  <si>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</si>
  <si>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</si>
  <si>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</si>
  <si>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</si>
  <si>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</si>
  <si>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</si>
  <si>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</si>
  <si>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</si>
  <si>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</si>
  <si>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</si>
  <si>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</si>
  <si>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</si>
  <si>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</si>
  <si>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</si>
  <si>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</si>
  <si>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</si>
  <si>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</si>
  <si>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</si>
  <si>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</si>
  <si>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</si>
  <si>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</si>
  <si>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</si>
  <si>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</si>
  <si>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</si>
  <si>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</si>
  <si>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</si>
  <si>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</si>
  <si>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</si>
  <si>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</si>
  <si>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</si>
  <si>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</si>
  <si>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</si>
  <si>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</si>
  <si>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</si>
  <si>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</si>
  <si>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</si>
  <si>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</si>
  <si>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</si>
  <si>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</si>
  <si>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</si>
  <si>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</si>
  <si>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</si>
  <si>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</si>
  <si>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</si>
  <si>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</si>
  <si>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</si>
  <si>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</si>
  <si>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</si>
  <si>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</si>
  <si>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</si>
  <si>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</si>
  <si>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</si>
  <si>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</si>
  <si>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</si>
  <si>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</si>
  <si>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</si>
  <si>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</si>
  <si>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</si>
  <si>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</si>
  <si>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</si>
  <si>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</si>
  <si>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</si>
  <si>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</si>
  <si>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</si>
  <si>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</si>
  <si>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</si>
  <si>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</si>
  <si>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</si>
  <si>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</si>
  <si>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</si>
  <si>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</si>
  <si>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</si>
  <si>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</si>
  <si>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</si>
  <si>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</si>
  <si>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</si>
  <si>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</si>
  <si>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</si>
  <si>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</si>
  <si>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</si>
  <si>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</si>
  <si>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</si>
  <si>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</si>
  <si>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</si>
  <si>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</si>
  <si>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</si>
  <si>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</si>
  <si>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</si>
  <si>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</si>
  <si>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</si>
  <si>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</si>
  <si>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</si>
  <si>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</si>
  <si>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</si>
  <si>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</si>
  <si>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</si>
  <si>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</si>
  <si>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</si>
  <si>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</si>
  <si>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</si>
  <si>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</si>
  <si>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</si>
  <si>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</si>
  <si>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</si>
  <si>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</si>
  <si>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</si>
  <si>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</si>
  <si>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</si>
  <si>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</si>
  <si>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</si>
  <si>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</si>
  <si>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</si>
  <si>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</si>
  <si>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</si>
  <si>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</si>
  <si>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</si>
  <si>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</si>
  <si>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</si>
  <si>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</si>
  <si>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</si>
  <si>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</si>
  <si>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</si>
  <si>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</si>
  <si>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</si>
  <si>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</si>
  <si>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</si>
  <si>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</si>
  <si>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</si>
  <si>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</si>
  <si>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</si>
  <si>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</si>
  <si>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</si>
  <si>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</si>
  <si>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</si>
  <si>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</si>
  <si>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</si>
  <si>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</si>
  <si>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</si>
  <si>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</si>
  <si>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</si>
  <si>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</si>
  <si>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</si>
  <si>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</si>
  <si>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</si>
  <si>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</si>
  <si>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</si>
  <si>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</si>
  <si>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</si>
  <si>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</si>
  <si>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</si>
  <si>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</si>
  <si>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</si>
  <si>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</si>
  <si>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</si>
  <si>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</si>
  <si>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</si>
  <si>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</si>
  <si>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</si>
  <si>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</si>
  <si>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</si>
  <si>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</si>
  <si>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</si>
  <si>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</si>
  <si>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</si>
  <si>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</si>
  <si>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</si>
  <si>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</si>
  <si>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</si>
  <si>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</si>
  <si>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</si>
  <si>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</si>
  <si>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</si>
  <si>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</si>
  <si>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</si>
  <si>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</si>
  <si>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</si>
  <si>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</si>
  <si>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</si>
  <si>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</si>
  <si>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</si>
  <si>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</si>
  <si>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</si>
  <si>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</si>
  <si>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</si>
  <si>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</si>
  <si>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</si>
  <si>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</si>
  <si>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</si>
  <si>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</si>
  <si>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</si>
  <si>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</si>
  <si>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</si>
  <si>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</si>
  <si>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</si>
  <si>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</si>
  <si>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</si>
  <si>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</si>
  <si>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</si>
  <si>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</si>
  <si>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</si>
  <si>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</si>
  <si>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</si>
  <si>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</si>
  <si>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</si>
  <si>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</si>
  <si>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</si>
  <si>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</si>
  <si>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</si>
  <si>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</si>
  <si>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</si>
  <si>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</si>
  <si>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</si>
  <si>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</si>
  <si>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</si>
  <si>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</si>
  <si>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</si>
  <si>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</si>
  <si>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</si>
  <si>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</si>
  <si>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</si>
  <si>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</si>
  <si>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</si>
  <si>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</si>
  <si>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</si>
  <si>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</si>
  <si>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</si>
  <si>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</si>
  <si>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</si>
  <si>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</si>
  <si>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</si>
  <si>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</si>
  <si>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</si>
  <si>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</si>
  <si>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</si>
  <si>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</si>
  <si>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</si>
  <si>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</si>
  <si>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</si>
  <si>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</si>
  <si>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</si>
  <si>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</si>
  <si>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</si>
  <si>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</si>
  <si>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</si>
  <si>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</si>
  <si>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</si>
  <si>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</si>
  <si>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</si>
  <si>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</si>
  <si>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</si>
  <si>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</si>
  <si>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</si>
  <si>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</si>
  <si>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</si>
  <si>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</si>
  <si>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</si>
  <si>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</si>
  <si>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</si>
  <si>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</si>
  <si>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</si>
  <si>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</si>
  <si>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</si>
  <si>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</si>
  <si>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</si>
  <si>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</si>
  <si>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</si>
  <si>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</si>
  <si>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</si>
  <si>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</si>
  <si>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</si>
  <si>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</si>
  <si>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</si>
  <si>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</si>
  <si>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</si>
  <si>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</si>
  <si>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</si>
  <si>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</si>
  <si>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</si>
  <si>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</si>
  <si>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</si>
  <si>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</si>
  <si>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</si>
  <si>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</si>
  <si>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</si>
  <si>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</si>
  <si>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</si>
  <si>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</si>
  <si>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</si>
  <si>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</si>
  <si>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</si>
  <si>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</si>
  <si>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</si>
  <si>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</si>
  <si>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</si>
  <si>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</si>
  <si>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</si>
  <si>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</si>
  <si>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</si>
  <si>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</si>
  <si>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</si>
  <si>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</si>
  <si>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</si>
  <si>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</si>
  <si>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</si>
  <si>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</si>
  <si>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</si>
  <si>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</si>
  <si>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</si>
  <si>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</si>
  <si>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</si>
  <si>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</si>
  <si>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</si>
  <si>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</si>
  <si>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</si>
  <si>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</si>
  <si>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</si>
  <si>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</si>
  <si>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</si>
  <si>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</si>
  <si>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</si>
  <si>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</si>
  <si>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</si>
  <si>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</si>
  <si>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</si>
  <si>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</si>
  <si>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</si>
  <si>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</si>
  <si>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</si>
  <si>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</si>
  <si>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</si>
  <si>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</si>
  <si>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</si>
  <si>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</si>
  <si>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</si>
  <si>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</si>
  <si>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</si>
  <si>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</si>
  <si>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</si>
  <si>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</si>
  <si>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</si>
  <si>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</si>
  <si>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</si>
  <si>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</si>
  <si>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</si>
  <si>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</si>
  <si>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</si>
  <si>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</si>
  <si>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</si>
  <si>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</si>
  <si>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</si>
  <si>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</si>
  <si>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</si>
  <si>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</si>
  <si>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</si>
  <si>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</si>
  <si>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</si>
  <si>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</si>
  <si>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</si>
  <si>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</si>
  <si>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</si>
  <si>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</si>
  <si>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</si>
  <si>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</si>
  <si>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</si>
  <si>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</si>
  <si>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</si>
  <si>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</si>
  <si>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</si>
  <si>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</si>
  <si>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</si>
  <si>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</si>
  <si>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</si>
  <si>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</si>
  <si>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</si>
  <si>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</si>
  <si>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</si>
  <si>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</si>
  <si>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</si>
  <si>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</si>
  <si>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</si>
  <si>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</si>
  <si>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</si>
  <si>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</si>
  <si>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</si>
  <si>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</si>
  <si>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</si>
  <si>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</si>
  <si>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</si>
  <si>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</si>
  <si>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</si>
  <si>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</si>
  <si>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</si>
  <si>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</si>
  <si>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</si>
  <si>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</si>
  <si>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</si>
  <si>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</si>
  <si>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</si>
  <si>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</si>
  <si>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</si>
  <si>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</si>
  <si>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</si>
  <si>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</si>
  <si>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</si>
  <si>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</si>
  <si>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</si>
  <si>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</si>
  <si>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</si>
  <si>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</si>
  <si>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</si>
  <si>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</si>
  <si>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</si>
  <si>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</si>
  <si>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</si>
  <si>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</si>
  <si>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</si>
  <si>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</si>
  <si>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</si>
  <si>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</si>
  <si>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</si>
  <si>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</si>
  <si>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</si>
  <si>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</si>
  <si>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</si>
  <si>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</si>
  <si>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</si>
  <si>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</si>
  <si>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</si>
  <si>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</si>
  <si>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</si>
  <si>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</si>
  <si>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</si>
  <si>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</si>
  <si>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</si>
  <si>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</si>
  <si>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</si>
  <si>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</si>
  <si>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</si>
  <si>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</si>
  <si>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</si>
  <si>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</si>
  <si>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</si>
  <si>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</si>
  <si>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</si>
  <si>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</si>
  <si>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</si>
  <si>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</si>
  <si>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</si>
  <si>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</si>
  <si>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</si>
  <si>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</si>
  <si>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</si>
  <si>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</si>
  <si>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</si>
  <si>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</si>
  <si>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</si>
  <si>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</si>
  <si>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</si>
  <si>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</si>
  <si>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</si>
  <si>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</si>
  <si>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</si>
  <si>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</si>
  <si>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</si>
  <si>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</si>
  <si>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</si>
  <si>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</si>
  <si>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</si>
  <si>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</si>
  <si>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</si>
  <si>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</si>
  <si>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</si>
  <si>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</si>
  <si>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</si>
  <si>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</si>
  <si>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</si>
  <si>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</si>
  <si>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</si>
  <si>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</si>
  <si>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</si>
  <si>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</si>
  <si>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</si>
  <si>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</si>
  <si>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</si>
  <si>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</si>
  <si>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</si>
  <si>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</si>
  <si>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</si>
  <si>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</si>
  <si>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</si>
  <si>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</si>
  <si>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</si>
  <si>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</si>
  <si>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</si>
  <si>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</si>
  <si>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</si>
  <si>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</si>
  <si>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</si>
  <si>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</si>
  <si>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</si>
  <si>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</si>
  <si>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</si>
  <si>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</si>
  <si>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</si>
  <si>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</si>
  <si>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</si>
  <si>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</si>
  <si>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</si>
  <si>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</si>
  <si>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</si>
  <si>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</si>
  <si>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</si>
  <si>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</si>
  <si>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</si>
  <si>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</si>
  <si>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</si>
  <si>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</si>
  <si>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</si>
  <si>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</si>
  <si>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</si>
  <si>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</si>
  <si>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</si>
  <si>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</si>
  <si>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</si>
  <si>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</si>
  <si>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</si>
  <si>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</si>
  <si>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</si>
  <si>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</si>
  <si>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</si>
  <si>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</si>
  <si>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</si>
  <si>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</si>
  <si>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</si>
  <si>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</si>
  <si>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</si>
  <si>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</si>
  <si>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</si>
  <si>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</si>
  <si>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</si>
  <si>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</si>
  <si>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</si>
  <si>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</si>
  <si>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</si>
  <si>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</si>
  <si>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</si>
  <si>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</si>
  <si>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</si>
  <si>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</si>
  <si>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</si>
  <si>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</si>
  <si>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</si>
  <si>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</si>
  <si>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</si>
  <si>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</si>
  <si>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</si>
  <si>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</si>
  <si>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</si>
  <si>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</si>
  <si>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</si>
  <si>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</si>
  <si>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</si>
  <si>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</si>
  <si>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</si>
  <si>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</si>
  <si>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</si>
  <si>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</si>
  <si>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</si>
  <si>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</si>
  <si>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</si>
  <si>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</si>
  <si>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</si>
  <si>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</si>
  <si>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</si>
  <si>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</si>
  <si>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</si>
  <si>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</si>
  <si>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</si>
  <si>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</si>
  <si>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</si>
  <si>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</si>
  <si>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</si>
  <si>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</si>
  <si>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</si>
  <si>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</si>
  <si>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</si>
  <si>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</si>
  <si>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</si>
  <si>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</si>
  <si>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</si>
  <si>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</si>
  <si>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</si>
  <si>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</si>
  <si>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</si>
  <si>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</si>
  <si>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</si>
  <si>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</si>
  <si>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</si>
  <si>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</si>
  <si>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</si>
  <si>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</si>
  <si>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</si>
  <si>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</si>
  <si>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</si>
  <si>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</si>
  <si>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</si>
  <si>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</si>
  <si>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</si>
  <si>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</si>
  <si>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</si>
  <si>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</si>
  <si>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</si>
  <si>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</si>
  <si>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</si>
  <si>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</si>
  <si>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</si>
  <si>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</si>
  <si>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</si>
  <si>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</si>
  <si>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</si>
  <si>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</si>
  <si>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</si>
  <si>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</si>
  <si>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</si>
  <si>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</si>
  <si>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</si>
  <si>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</si>
  <si>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</si>
  <si>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</si>
  <si>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</si>
  <si>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</si>
  <si>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</si>
  <si>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</si>
  <si>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</si>
  <si>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</si>
  <si>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</si>
  <si>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</si>
  <si>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</si>
  <si>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</si>
  <si>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</si>
  <si>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</si>
  <si>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</si>
  <si>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</si>
  <si>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</si>
  <si>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</si>
  <si>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</si>
  <si>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</si>
  <si>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</si>
  <si>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</si>
  <si>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</si>
  <si>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</si>
  <si>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</si>
  <si>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</si>
  <si>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</si>
  <si>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</si>
  <si>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</si>
  <si>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</si>
  <si>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</si>
  <si>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</si>
  <si>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</si>
  <si>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</si>
  <si>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</si>
  <si>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</si>
  <si>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</si>
  <si>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</si>
  <si>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</si>
  <si>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</si>
  <si>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</si>
  <si>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</si>
  <si>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</si>
  <si>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</si>
  <si>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</si>
  <si>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</si>
  <si>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</si>
  <si>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</si>
  <si>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</si>
  <si>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</si>
  <si>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</si>
  <si>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</si>
  <si>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</si>
  <si>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</si>
  <si>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</si>
  <si>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</si>
  <si>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</si>
  <si>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</si>
  <si>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</si>
  <si>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</si>
  <si>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</si>
  <si>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</si>
  <si>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</si>
  <si>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</si>
  <si>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</si>
  <si>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</si>
  <si>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</si>
  <si>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</si>
  <si>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</si>
  <si>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</si>
  <si>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</si>
  <si>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</si>
  <si>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</si>
  <si>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</si>
  <si>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</si>
  <si>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</si>
  <si>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</si>
  <si>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</si>
  <si>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</si>
  <si>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</si>
  <si>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</si>
  <si>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</si>
  <si>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</si>
  <si>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</si>
  <si>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</si>
  <si>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</si>
  <si>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</si>
  <si>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</si>
  <si>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</si>
  <si>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</si>
  <si>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</si>
  <si>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</si>
  <si>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</si>
  <si>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</si>
  <si>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</si>
  <si>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</si>
  <si>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</si>
  <si>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</si>
  <si>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</si>
  <si>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</si>
  <si>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</si>
  <si>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</si>
  <si>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</si>
  <si>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</si>
  <si>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</si>
  <si>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</si>
  <si>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</si>
  <si>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</si>
  <si>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</si>
  <si>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</si>
  <si>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</si>
  <si>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</si>
  <si>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</si>
  <si>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</si>
  <si>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</si>
  <si>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</si>
  <si>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</si>
  <si>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</si>
  <si>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</si>
  <si>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</si>
  <si>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</si>
  <si>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</si>
  <si>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</si>
  <si>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</si>
  <si>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</si>
  <si>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</si>
  <si>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</si>
  <si>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</si>
  <si>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</si>
  <si>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</si>
  <si>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</si>
  <si>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</si>
  <si>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</si>
  <si>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</si>
  <si>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</si>
  <si>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</si>
  <si>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</si>
  <si>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</si>
  <si>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</si>
  <si>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</si>
  <si>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</si>
  <si>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</si>
  <si>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</si>
  <si>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</si>
  <si>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</si>
  <si>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</si>
  <si>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</si>
  <si>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</si>
  <si>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</si>
  <si>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</si>
  <si>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</si>
  <si>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</si>
  <si>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</si>
  <si>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</si>
  <si>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</si>
  <si>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</si>
  <si>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</si>
  <si>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</si>
  <si>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</si>
  <si>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</si>
  <si>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</si>
  <si>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</si>
  <si>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</si>
  <si>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</si>
  <si>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</si>
  <si>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</si>
  <si>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</si>
  <si>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</si>
  <si>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</si>
  <si>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</si>
  <si>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</si>
  <si>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</si>
  <si>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</si>
  <si>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</si>
  <si>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</si>
  <si>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</si>
  <si>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</si>
  <si>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</si>
  <si>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</si>
  <si>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</si>
  <si>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</si>
  <si>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</si>
  <si>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</si>
  <si>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</si>
  <si>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</si>
  <si>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</si>
  <si>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</si>
  <si>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</si>
  <si>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</si>
  <si>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</si>
  <si>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</si>
  <si>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</si>
  <si>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</si>
  <si>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</si>
  <si>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</si>
  <si>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</si>
  <si>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</si>
  <si>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</si>
  <si>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</si>
  <si>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</si>
  <si>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</si>
  <si>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</si>
  <si>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</si>
  <si>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</si>
  <si>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</si>
  <si>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</si>
  <si>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</si>
  <si>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</si>
  <si>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</si>
  <si>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</si>
  <si>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</si>
  <si>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</si>
  <si>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</si>
  <si>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</si>
  <si>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</si>
  <si>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</si>
  <si>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</si>
  <si>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</si>
  <si>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</si>
  <si>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</si>
  <si>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</si>
  <si>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</si>
  <si>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</si>
  <si>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</si>
  <si>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</si>
  <si>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</si>
  <si>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</si>
  <si>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</si>
  <si>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</si>
  <si>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</si>
  <si>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</si>
  <si>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</si>
  <si>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</si>
  <si>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</si>
  <si>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</si>
  <si>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</si>
  <si>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</si>
  <si>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</si>
  <si>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</si>
  <si>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</si>
  <si>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</si>
  <si>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</si>
  <si>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</si>
  <si>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</si>
  <si>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</si>
  <si>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</si>
  <si>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</si>
  <si>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</si>
  <si>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</si>
  <si>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</si>
  <si>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</si>
  <si>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</si>
  <si>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</si>
  <si>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</si>
  <si>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</si>
  <si>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</si>
  <si>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</si>
  <si>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</si>
  <si>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</si>
  <si>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</si>
  <si>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</si>
  <si>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</si>
  <si>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</si>
  <si>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</si>
  <si>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</si>
  <si>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</si>
  <si>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</si>
  <si>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</si>
  <si>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</si>
  <si>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</si>
  <si>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</si>
  <si>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</si>
  <si>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</si>
  <si>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</si>
  <si>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</si>
  <si>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</si>
  <si>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</si>
  <si>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</si>
  <si>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</si>
  <si>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</si>
  <si>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</si>
  <si>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</si>
  <si>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</si>
  <si>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</si>
  <si>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</si>
  <si>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</si>
  <si>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</si>
  <si>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</si>
  <si>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</si>
  <si>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</si>
  <si>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</si>
  <si>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</si>
  <si>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</si>
  <si>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</si>
  <si>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</si>
  <si>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</si>
  <si>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</si>
  <si>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</si>
  <si>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</si>
  <si>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</si>
  <si>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</si>
  <si>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</si>
  <si>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</si>
  <si>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</si>
  <si>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</si>
  <si>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</si>
  <si>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</si>
  <si>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</si>
  <si>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</si>
  <si>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</si>
  <si>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</si>
  <si>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</si>
  <si>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</si>
  <si>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</si>
  <si>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</si>
  <si>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</si>
  <si>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</si>
  <si>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</si>
  <si>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</si>
  <si>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</si>
  <si>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</si>
  <si>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</si>
  <si>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</si>
  <si>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</si>
  <si>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</si>
  <si>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</si>
  <si>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</si>
  <si>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</si>
  <si>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</si>
  <si>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</si>
  <si>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</si>
  <si>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</si>
  <si>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</si>
  <si>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</si>
  <si>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</si>
  <si>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</si>
  <si>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</si>
  <si>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</si>
  <si>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</si>
  <si>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</si>
  <si>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</si>
  <si>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</si>
  <si>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</si>
  <si>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</si>
  <si>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</si>
  <si>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</si>
  <si>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</si>
  <si>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</si>
  <si>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</si>
  <si>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</si>
  <si>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</si>
  <si>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</si>
  <si>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</si>
  <si>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</si>
  <si>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</si>
  <si>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</si>
  <si>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</si>
  <si>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</si>
  <si>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</si>
  <si>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</si>
  <si>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</si>
  <si>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</si>
  <si>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</si>
  <si>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</si>
  <si>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</si>
  <si>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</si>
  <si>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</si>
  <si>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</si>
  <si>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</si>
  <si>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</si>
  <si>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</si>
  <si>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</si>
  <si>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</si>
  <si>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</si>
  <si>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</si>
  <si>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</si>
  <si>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</si>
  <si>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</si>
  <si>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</si>
  <si>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</si>
  <si>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</si>
  <si>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</si>
  <si>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</si>
  <si>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</si>
  <si>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</si>
  <si>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</si>
  <si>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</si>
  <si>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</si>
  <si>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</si>
  <si>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</si>
  <si>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</si>
  <si>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</si>
  <si>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</si>
  <si>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</si>
  <si>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</si>
  <si>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</si>
  <si>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</si>
  <si>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</si>
  <si>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</si>
  <si>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</si>
  <si>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</si>
  <si>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</si>
  <si>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</si>
  <si>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</si>
  <si>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</si>
  <si>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</si>
  <si>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</si>
  <si>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</si>
  <si>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</si>
  <si>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</si>
  <si>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</si>
  <si>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</si>
  <si>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</si>
  <si>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</si>
  <si>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</si>
  <si>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</si>
  <si>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</si>
  <si>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</si>
  <si>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</si>
  <si>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</si>
  <si>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</si>
  <si>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</si>
  <si>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</si>
  <si>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</si>
  <si>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</si>
  <si>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</si>
  <si>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</si>
  <si>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</si>
  <si>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</si>
  <si>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</si>
  <si>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</si>
  <si>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</si>
  <si>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</si>
  <si>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</si>
  <si>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</si>
  <si>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</si>
  <si>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</si>
  <si>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</si>
  <si>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</si>
  <si>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</si>
  <si>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</si>
  <si>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</si>
  <si>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</si>
  <si>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</si>
  <si>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</si>
  <si>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</si>
  <si>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</si>
  <si>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</si>
  <si>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</si>
  <si>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</si>
  <si>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</si>
  <si>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</si>
  <si>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</si>
  <si>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</si>
  <si>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</si>
  <si>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</si>
  <si>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</si>
  <si>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</si>
  <si>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</si>
  <si>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</si>
  <si>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</si>
  <si>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</si>
  <si>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</si>
  <si>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</si>
  <si>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</si>
  <si>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</si>
  <si>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</si>
  <si>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</si>
  <si>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</si>
  <si>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</si>
  <si>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</si>
  <si>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</si>
  <si>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</si>
  <si>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</si>
  <si>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</si>
  <si>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</si>
  <si>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</si>
  <si>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</si>
  <si>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</si>
  <si>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</si>
  <si>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</si>
  <si>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</si>
  <si>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</si>
  <si>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</si>
  <si>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</si>
  <si>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</si>
  <si>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</si>
  <si>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</si>
  <si>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</si>
  <si>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</si>
  <si>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</si>
  <si>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</si>
  <si>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</si>
  <si>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</si>
  <si>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</si>
  <si>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</si>
  <si>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</si>
  <si>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</si>
  <si>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</si>
  <si>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</si>
  <si>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</si>
  <si>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</si>
  <si>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</si>
  <si>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</si>
  <si>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</si>
  <si>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</si>
  <si>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</si>
  <si>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</si>
  <si>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</si>
  <si>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</si>
  <si>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</si>
  <si>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</si>
  <si>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</si>
  <si>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</si>
  <si>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</si>
  <si>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</si>
  <si>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</si>
  <si>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</si>
  <si>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</si>
  <si>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</si>
  <si>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</si>
  <si>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</si>
  <si>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</si>
  <si>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</si>
  <si>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</si>
  <si>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</si>
  <si>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</si>
  <si>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</si>
  <si>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</si>
  <si>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</si>
  <si>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</si>
  <si>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</si>
  <si>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</si>
  <si>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</si>
  <si>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</si>
  <si>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</si>
  <si>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</si>
  <si>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</si>
  <si>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</si>
  <si>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</si>
  <si>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</si>
  <si>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</si>
  <si>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</si>
  <si>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</si>
  <si>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</si>
  <si>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</si>
  <si>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</si>
  <si>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</si>
  <si>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</si>
  <si>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</si>
  <si>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</si>
  <si>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</si>
  <si>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</si>
  <si>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</si>
  <si>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</si>
  <si>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</si>
  <si>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</si>
  <si>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</si>
  <si>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</si>
  <si>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</si>
  <si>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</si>
  <si>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</si>
  <si>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</si>
  <si>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</si>
  <si>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</si>
  <si>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</si>
  <si>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</si>
  <si>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</si>
  <si>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</si>
  <si>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</si>
  <si>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</si>
  <si>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</si>
  <si>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</si>
  <si>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</si>
  <si>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</si>
  <si>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</si>
  <si>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</si>
  <si>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</si>
  <si>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</si>
  <si>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</si>
  <si>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</si>
  <si>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</si>
  <si>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</si>
  <si>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</si>
  <si>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</si>
  <si>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</si>
  <si>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</si>
  <si>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</si>
  <si>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</si>
  <si>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</si>
  <si>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</si>
  <si>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</si>
  <si>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</si>
  <si>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</si>
  <si>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</si>
  <si>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</si>
  <si>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</si>
  <si>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</si>
  <si>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</si>
  <si>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</si>
  <si>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</si>
  <si>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</si>
  <si>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</si>
  <si>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</si>
  <si>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</si>
  <si>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</si>
  <si>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</si>
  <si>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</si>
  <si>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</si>
  <si>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</si>
  <si>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</si>
  <si>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</si>
  <si>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</si>
  <si>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</si>
  <si>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</si>
  <si>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</si>
  <si>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</si>
  <si>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</si>
  <si>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</si>
  <si>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</si>
  <si>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</si>
  <si>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</si>
  <si>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</si>
  <si>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</si>
  <si>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</si>
  <si>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</si>
  <si>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</si>
  <si>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</si>
  <si>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</si>
  <si>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</si>
  <si>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</si>
  <si>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</si>
  <si>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</si>
  <si>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</si>
  <si>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</si>
  <si>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</si>
  <si>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</si>
  <si>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</si>
  <si>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</si>
  <si>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</si>
  <si>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</si>
  <si>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</si>
  <si>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</si>
  <si>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</si>
  <si>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</si>
  <si>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</si>
  <si>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</si>
  <si>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</si>
  <si>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</si>
  <si>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</si>
  <si>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</si>
  <si>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</si>
  <si>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</si>
  <si>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</si>
  <si>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</si>
  <si>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</si>
  <si>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</si>
  <si>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</si>
  <si>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</si>
  <si>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</si>
  <si>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</si>
  <si>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</si>
  <si>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</si>
  <si>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</si>
  <si>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</si>
  <si>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</si>
  <si>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</si>
  <si>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</si>
  <si>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</si>
  <si>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</si>
  <si>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</si>
  <si>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</si>
  <si>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</si>
  <si>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</si>
  <si>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</si>
  <si>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</si>
  <si>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</si>
  <si>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</si>
  <si>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</si>
  <si>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</si>
  <si>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</si>
  <si>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</si>
  <si>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</si>
  <si>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</si>
  <si>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</si>
  <si>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</si>
  <si>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</si>
  <si>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</si>
  <si>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</si>
  <si>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</si>
  <si>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</si>
  <si>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</si>
  <si>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</si>
  <si>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</si>
  <si>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</si>
  <si>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</si>
  <si>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</si>
  <si>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</si>
  <si>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</si>
  <si>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</si>
  <si>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</si>
  <si>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</si>
  <si>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</si>
  <si>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</si>
  <si>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</si>
  <si>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</si>
  <si>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</si>
  <si>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</si>
  <si>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</si>
  <si>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</si>
  <si>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</si>
  <si>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</si>
  <si>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</si>
  <si>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</si>
  <si>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</si>
  <si>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</si>
  <si>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</si>
  <si>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</si>
  <si>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</si>
  <si>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</si>
  <si>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</si>
  <si>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</si>
  <si>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</si>
  <si>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</si>
  <si>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</si>
  <si>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</si>
  <si>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</si>
  <si>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</si>
  <si>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</si>
  <si>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</si>
  <si>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</si>
  <si>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</si>
  <si>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</si>
  <si>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</si>
  <si>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</si>
  <si>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</si>
  <si>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</si>
  <si>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</si>
  <si>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</si>
  <si>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</si>
  <si>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</si>
  <si>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</si>
  <si>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</si>
  <si>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</si>
  <si>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</si>
  <si>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</si>
  <si>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</si>
  <si>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</si>
  <si>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</si>
  <si>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</si>
  <si>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</si>
  <si>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</si>
  <si>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</si>
  <si>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</si>
  <si>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</si>
  <si>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</si>
  <si>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</si>
  <si>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</si>
  <si>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</si>
  <si>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</si>
  <si>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</si>
  <si>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</si>
  <si>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</si>
  <si>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</si>
  <si>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</si>
  <si>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</si>
  <si>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</si>
  <si>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</si>
  <si>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</si>
  <si>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</si>
  <si>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</si>
  <si>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</si>
  <si>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</si>
  <si>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</si>
  <si>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</si>
  <si>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</si>
  <si>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</si>
  <si>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</si>
  <si>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</si>
  <si>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</si>
  <si>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</si>
  <si>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</si>
  <si>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</si>
  <si>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</si>
  <si>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</si>
  <si>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</si>
  <si>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</si>
  <si>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</si>
  <si>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</si>
  <si>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</si>
  <si>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</si>
  <si>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</si>
  <si>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</si>
  <si>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</si>
  <si>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</si>
  <si>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</si>
  <si>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</si>
  <si>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</si>
  <si>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</si>
  <si>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</si>
  <si>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</si>
  <si>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</si>
  <si>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</si>
  <si>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</si>
  <si>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</si>
  <si>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</si>
  <si>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</si>
  <si>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</si>
  <si>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</si>
  <si>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</si>
  <si>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</si>
  <si>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</si>
  <si>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</si>
  <si>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</si>
  <si>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</si>
  <si>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</si>
  <si>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</si>
  <si>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</si>
  <si>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</si>
  <si>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</si>
  <si>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</si>
  <si>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</si>
  <si>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</si>
  <si>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</si>
  <si>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</si>
  <si>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</si>
  <si>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</si>
  <si>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</si>
  <si>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</si>
  <si>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</si>
  <si>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</si>
  <si>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</si>
  <si>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</si>
  <si>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</si>
  <si>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</si>
  <si>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</si>
  <si>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</si>
  <si>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</si>
  <si>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</si>
  <si>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</si>
  <si>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</si>
  <si>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</si>
  <si>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</si>
  <si>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</si>
  <si>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</si>
  <si>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</si>
  <si>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</si>
  <si>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</si>
  <si>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</si>
  <si>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</si>
  <si>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</si>
  <si>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</si>
  <si>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</si>
  <si>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</si>
  <si>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</si>
  <si>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</si>
  <si>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</si>
  <si>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</si>
  <si>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</si>
  <si>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</si>
  <si>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</si>
  <si>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</si>
  <si>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</si>
  <si>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</si>
  <si>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</si>
  <si>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</si>
  <si>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</si>
  <si>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</si>
  <si>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</si>
  <si>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</si>
  <si>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</si>
  <si>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</si>
  <si>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</si>
  <si>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</si>
  <si>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</si>
  <si>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</si>
  <si>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</si>
  <si>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</si>
  <si>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</si>
  <si>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</si>
  <si>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</si>
  <si>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</si>
  <si>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</si>
  <si>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</si>
  <si>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</si>
  <si>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</si>
  <si>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</si>
  <si>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</si>
  <si>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</si>
  <si>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</si>
  <si>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</si>
  <si>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</si>
  <si>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</si>
  <si>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</si>
  <si>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</si>
  <si>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</si>
  <si>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</si>
  <si>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</si>
  <si>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</si>
  <si>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</si>
  <si>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</si>
  <si>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</si>
  <si>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</si>
  <si>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</si>
  <si>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</si>
  <si>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</si>
  <si>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</si>
  <si>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</si>
  <si>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</si>
  <si>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</si>
  <si>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</si>
  <si>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</si>
  <si>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</si>
  <si>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</si>
  <si>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</si>
  <si>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</si>
  <si>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</si>
  <si>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</si>
  <si>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</si>
  <si>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</si>
  <si>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</si>
  <si>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</si>
  <si>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</si>
  <si>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</si>
  <si>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</si>
  <si>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</si>
  <si>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</si>
  <si>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</si>
  <si>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</si>
  <si>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</si>
  <si>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</si>
  <si>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</si>
  <si>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</si>
  <si>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</si>
  <si>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</si>
  <si>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</si>
  <si>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</si>
  <si>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</si>
  <si>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</si>
  <si>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</si>
  <si>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</si>
  <si>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</si>
  <si>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</si>
  <si>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</si>
  <si>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</si>
  <si>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</si>
  <si>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</si>
  <si>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</si>
  <si>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</si>
  <si>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</si>
  <si>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</si>
  <si>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</si>
  <si>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</si>
  <si>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</si>
  <si>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</si>
  <si>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</si>
  <si>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</si>
  <si>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</si>
  <si>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</si>
  <si>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</si>
  <si>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</si>
  <si>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</si>
  <si>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</si>
  <si>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</si>
  <si>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</si>
  <si>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</si>
  <si>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</si>
  <si>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</si>
  <si>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</si>
  <si>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</si>
  <si>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</si>
  <si>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</si>
  <si>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</si>
  <si>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</si>
  <si>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</si>
  <si>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</si>
  <si>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</si>
  <si>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</si>
  <si>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</si>
  <si>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</si>
  <si>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</si>
  <si>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</si>
  <si>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</si>
  <si>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</si>
  <si>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</si>
  <si>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</si>
  <si>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</si>
  <si>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</si>
  <si>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</si>
  <si>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</si>
  <si>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</si>
  <si>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</si>
  <si>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</si>
  <si>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</si>
  <si>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</si>
  <si>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</si>
  <si>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</si>
  <si>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</si>
  <si>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</si>
  <si>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</si>
  <si>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</si>
  <si>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</si>
  <si>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</si>
  <si>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</si>
  <si>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</si>
  <si>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</si>
  <si>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</si>
  <si>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</si>
  <si>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</si>
  <si>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</si>
  <si>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</si>
  <si>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</si>
  <si>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</si>
  <si>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</si>
  <si>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</si>
  <si>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</si>
  <si>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</si>
  <si>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</si>
  <si>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</si>
  <si>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</si>
  <si>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</si>
  <si>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</si>
  <si>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</si>
  <si>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</si>
  <si>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</si>
  <si>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</si>
  <si>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</si>
  <si>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</si>
  <si>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</si>
  <si>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</si>
  <si>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</si>
  <si>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</si>
  <si>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</si>
  <si>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</si>
  <si>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</si>
  <si>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</si>
  <si>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</si>
  <si>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</si>
  <si>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</si>
  <si>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</si>
  <si>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</si>
  <si>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</si>
  <si>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</si>
  <si>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</si>
  <si>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</si>
  <si>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</si>
  <si>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</si>
  <si>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</si>
  <si>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</si>
  <si>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</si>
  <si>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</si>
  <si>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</si>
  <si>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</si>
  <si>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</si>
  <si>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</si>
  <si>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</si>
  <si>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</si>
  <si>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</si>
  <si>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</si>
  <si>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</si>
  <si>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</si>
  <si>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</si>
  <si>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</si>
  <si>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</si>
  <si>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</si>
  <si>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</si>
  <si>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</si>
  <si>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</si>
  <si>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</si>
  <si>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</si>
  <si>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</si>
  <si>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</si>
  <si>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</si>
  <si>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</si>
  <si>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</si>
  <si>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</si>
  <si>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</si>
  <si>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</si>
  <si>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</si>
  <si>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</si>
  <si>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</si>
  <si>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</si>
  <si>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</si>
  <si>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</si>
  <si>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</si>
  <si>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</si>
  <si>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</si>
  <si>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</si>
  <si>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</si>
  <si>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</si>
  <si>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</si>
  <si>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</si>
  <si>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</si>
  <si>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</si>
  <si>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</si>
  <si>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</si>
  <si>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</si>
  <si>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</si>
  <si>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</si>
  <si>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</si>
  <si>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</si>
  <si>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</si>
  <si>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</si>
  <si>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</si>
  <si>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</si>
  <si>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</si>
  <si>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</si>
  <si>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</si>
  <si>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</si>
  <si>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</si>
  <si>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</si>
  <si>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</si>
  <si>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</si>
  <si>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</si>
  <si>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</si>
  <si>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</si>
  <si>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</si>
  <si>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</si>
  <si>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</si>
  <si>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</si>
  <si>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</si>
  <si>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</si>
  <si>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</si>
  <si>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</si>
  <si>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</si>
  <si>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</si>
  <si>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</si>
  <si>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</si>
  <si>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</si>
  <si>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</si>
  <si>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</si>
  <si>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</si>
  <si>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</si>
  <si>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</si>
  <si>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</si>
  <si>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</si>
  <si>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</si>
  <si>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</si>
  <si>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</si>
  <si>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</si>
  <si>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</si>
  <si>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</si>
  <si>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</si>
  <si>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bda connectivity GmbH</t>
  </si>
  <si>
    <t>Kabel</t>
  </si>
  <si>
    <t>DE 318630012</t>
  </si>
  <si>
    <t>Herborner Strasse 61a, 35614 Asslar, Germany</t>
  </si>
  <si>
    <t>Juergen Speier</t>
  </si>
  <si>
    <t>juergen.speier@bda-c.com</t>
  </si>
  <si>
    <t>+49-6441-38452-56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</si>
</sst>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uergen.speier@bda-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uergen.speier@bda-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33.7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12.5">
      <c r="A37" s="356"/>
      <c r="B37" s="163">
        <v>3.01</v>
      </c>
      <c r="C37" s="164" t="s">
        <v>70</v>
      </c>
      <c r="D37" s="36" t="s">
        <v>2268</v>
      </c>
      <c r="E37" s="191" t="s">
        <v>1328</v>
      </c>
      <c r="F37" s="192" t="s">
        <v>1434</v>
      </c>
      <c r="G37" s="31"/>
    </row>
    <row r="38" spans="1:7" ht="10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 All rights reserved.</v>
      </c>
      <c r="C56" s="358"/>
      <c r="D56" s="358"/>
      <c r="E56" s="358"/>
      <c r="F56" s="3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Schulung und Beratung, Vorlagen, Responsible Minerals Assurance Process, konforme Schmelzhütten Liste</v>
      </c>
      <c r="B1" s="111" t="s">
        <v>442</v>
      </c>
    </row>
    <row r="2" spans="1:2" ht="30">
      <c r="A2" s="118" t="str">
        <f ca="1">OFFSET(L!$C$1,MATCH("Instructions"&amp;ADDRESS(ROW(),COLUMN(),4),L!$A:$A,0)-1,SL,,)</f>
        <v>Einführung</v>
      </c>
      <c r="B2" s="111" t="s">
        <v>1304</v>
      </c>
    </row>
    <row r="3" spans="1:2" ht="165">
      <c r="A3" s="115"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11" t="s">
        <v>1305</v>
      </c>
    </row>
    <row r="4" spans="1:2" ht="222.6" customHeight="1">
      <c r="A4" s="115"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1" t="s">
        <v>1311</v>
      </c>
    </row>
    <row r="5" spans="1:2" ht="15">
      <c r="A5" s="119"/>
      <c r="B5" s="111"/>
    </row>
    <row r="6" spans="1:2" ht="30">
      <c r="A6" s="118" t="str">
        <f ca="1">OFFSET(L!$C$1,MATCH("Instructions"&amp;ADDRESS(ROW(),COLUMN(),4),L!$A:$A,0)-1,SL,,)</f>
        <v>Anleitung zum Ausfüllen von Informationen zu Unternehmen (Zeilen 8 - 22).  Die Kommentare nur in englischer Sprache.</v>
      </c>
      <c r="B6" s="111" t="s">
        <v>1304</v>
      </c>
    </row>
    <row r="7" spans="1:2" ht="15">
      <c r="A7" s="281" t="str">
        <f ca="1">OFFSET(L!$C$1,MATCH("Instructions"&amp;ADDRESS(ROW(),COLUMN(),4),L!$A:$A,0)-1,SL,,)</f>
        <v>Hinweis: Eingaben mit (*) sind Pflichtfelder</v>
      </c>
      <c r="B7" s="111"/>
    </row>
    <row r="8" spans="1:2" ht="30">
      <c r="A8" s="115" t="str">
        <f ca="1">OFFSET(L!$C$1,MATCH("Instructions"&amp;ADDRESS(ROW(),COLUMN(),4),L!$A:$A,0)-1,SL,,)</f>
        <v>1. Geben Sie hier den rechtmäßigen Firmennamen Ihres Unternehmens ein. Bitte verwenden Sie keine Abkürzungen. In diesem Feld haben Sie die Möglichkeit, weitere Geschäftsnamen, DBAs usw. hinzuzufügen.</v>
      </c>
      <c r="B8" s="111"/>
    </row>
    <row r="9" spans="1:2" ht="405.6" customHeight="1">
      <c r="A9" s="168"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1" t="s">
        <v>1303</v>
      </c>
    </row>
    <row r="10" spans="1:2" ht="36" customHeight="1">
      <c r="A10" s="115" t="str">
        <f ca="1">OFFSET(L!$C$1,MATCH("Instructions"&amp;ADDRESS(ROW(),COLUMN(),4),L!$A:$A,0)-1,SL,,)</f>
        <v>3.Geben sie ihre eindeutige Firmenidentifikationsnummer (DUNS Nummer, Steuernummer, Kunden-spezifische Kennung, etc.) ein</v>
      </c>
      <c r="B10" s="111"/>
    </row>
    <row r="11" spans="1:2" ht="35.25" customHeight="1">
      <c r="A11" s="115" t="str">
        <f ca="1">OFFSET(L!$C$1,MATCH("Instructions"&amp;ADDRESS(ROW(),COLUMN(),4),L!$A:$A,0)-1,SL,,)</f>
        <v>4. Geben Sie die Quelle für die eindeutige Kennung oder Code ( "DUNS",  "MWST","Kunde", etc. ) an.</v>
      </c>
      <c r="B11" s="111"/>
    </row>
    <row r="12" spans="1:2" ht="30">
      <c r="A12" s="115" t="str">
        <f ca="1">OFFSET(L!$C$1,MATCH("Instructions"&amp;ADDRESS(ROW(),COLUMN(),4),L!$A:$A,0)-1,SL,,)</f>
        <v>5. Geben Sie Ihre vollständige Firmenanschrift an (Straße, Stadt, Postleitzahl,  Bundesland).  Dieses Feld ist optional.</v>
      </c>
      <c r="B12" s="111" t="s">
        <v>1304</v>
      </c>
    </row>
    <row r="13" spans="1:2" ht="33.75" customHeight="1">
      <c r="A13" s="115" t="str">
        <f ca="1">OFFSET(L!$C$1,MATCH("Instructions"&amp;ADDRESS(ROW(),COLUMN(),4),L!$A:$A,0)-1,SL,,)</f>
        <v>6. Geben Sie den Namen der Kontaktperson zum Inhalt der Erklärung an. Dies ist ein obligatorisches Feld.</v>
      </c>
      <c r="B13" s="111"/>
    </row>
    <row r="14" spans="1:2" ht="30">
      <c r="A14" s="115"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1"/>
    </row>
    <row r="15" spans="1:2" ht="25.5" customHeight="1">
      <c r="A15" s="115" t="str">
        <f ca="1">OFFSET(L!$C$1,MATCH("Instructions"&amp;ADDRESS(ROW(),COLUMN(),4),L!$A:$A,0)-1,SL,,)</f>
        <v>8. Geben Sie die Telefonnummer des Kontakts an. Dies ist ein obligatorisches Feld.</v>
      </c>
      <c r="B15" s="111"/>
    </row>
    <row r="16" spans="1:2" ht="45">
      <c r="A16" s="115"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1"/>
    </row>
    <row r="17" spans="1:2" ht="15">
      <c r="A17" s="115" t="str">
        <f ca="1">OFFSET(L!$C$1,MATCH("Instructions"&amp;ADDRESS(ROW(),COLUMN(),4),L!$A:$A,0)-1,SL,,)</f>
        <v>10. Geben Sie den Titel für den Namen des Bevollmächtigten an. Dieses Feld ist optional.</v>
      </c>
      <c r="B17" s="111"/>
    </row>
    <row r="18" spans="1:2" ht="30">
      <c r="A18" s="115"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1"/>
    </row>
    <row r="19" spans="1:2" ht="15">
      <c r="A19" s="115" t="str">
        <f ca="1">OFFSET(L!$C$1,MATCH("Instructions"&amp;ADDRESS(ROW(),COLUMN(),4),L!$A:$A,0)-1,SL,,)</f>
        <v>12. Fügen Sie die Telefonnummer der freigabeberechtigten Person ein. Das Ausfüllen dieses Feldes ist freiwillig.</v>
      </c>
      <c r="B19" s="111"/>
    </row>
    <row r="20" spans="1:2" ht="33.75" customHeight="1">
      <c r="A20" s="115" t="str">
        <f ca="1">OFFSET(L!$C$1,MATCH("Instructions"&amp;ADDRESS(ROW(),COLUMN(),4),L!$A:$A,0)-1,SL,,)</f>
        <v>13. Bitte geben Sie das Datum der Fertigstellung für dieses Formblatt mit dem Format TT-MMM-JJJJ ein. Dies ist ein obligatorisches Feld.</v>
      </c>
      <c r="B20" s="111"/>
    </row>
    <row r="21" spans="1:2" ht="30">
      <c r="A21" s="115" t="str">
        <f ca="1">OFFSET(L!$C$1,MATCH("Instructions"&amp;ADDRESS(ROW(),COLUMN(),4),L!$A:$A,0)-1,SL,,)</f>
        <v>14. Zum Beispiel kann der Benutzer die Datei unter dem Namen speichern: companyname-datum.xls (Datum im Format JJJJ-MM-TT).</v>
      </c>
      <c r="B21" s="111" t="s">
        <v>1304</v>
      </c>
    </row>
    <row r="22" spans="1:2" ht="15">
      <c r="A22" s="119"/>
      <c r="B22" s="111"/>
    </row>
    <row r="23" spans="1:2" ht="30">
      <c r="A23" s="118" t="str">
        <f ca="1">OFFSET(L!$C$1,MATCH("Instructions"&amp;ADDRESS(ROW(),COLUMN(),4),L!$A:$A,0)-1,SL,,)</f>
        <v>Anweisungen zum Ausfüllen der acht Fragen zur Sorgfaltsprüfung (Zeilen 24 - 71).
Bitte geben Sie Ihre Antworten nur auf ENGLISCH</v>
      </c>
      <c r="B23" s="111" t="s">
        <v>1304</v>
      </c>
    </row>
    <row r="24" spans="1:2" ht="80.650000000000006" customHeight="1">
      <c r="A24" s="115"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1" t="s">
        <v>1307</v>
      </c>
    </row>
    <row r="25" spans="1:2" ht="72" customHeight="1">
      <c r="A25" s="115"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11" t="s">
        <v>1304</v>
      </c>
    </row>
    <row r="26" spans="1:2" ht="280.89999999999998" customHeight="1">
      <c r="A26" s="115"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1" t="s">
        <v>1304</v>
      </c>
    </row>
    <row r="27" spans="1:2" ht="30">
      <c r="A27" s="115" t="str">
        <f ca="1">OFFSET(L!$C$1,MATCH("Instructions"&amp;ADDRESS(ROW(),COLUMN(),4),L!$A:$A,0)-1,SL,,)</f>
        <v>Manche Unternehmen benötigen eine Begründung für eine "Nein" -Antwort im Kommentarfeld</v>
      </c>
      <c r="B27" s="111" t="s">
        <v>1304</v>
      </c>
    </row>
    <row r="28" spans="1:2" ht="247.5" customHeight="1">
      <c r="A28" s="115"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1"/>
    </row>
    <row r="29" spans="1:2" ht="157.15" customHeight="1">
      <c r="A29" s="115"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1" t="s">
        <v>1304</v>
      </c>
    </row>
    <row r="30" spans="1:2" ht="181.9" customHeight="1">
      <c r="A30" s="115"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1"/>
    </row>
    <row r="31" spans="1:2" ht="135">
      <c r="A31" s="115"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1" t="s">
        <v>1304</v>
      </c>
    </row>
    <row r="32" spans="1:2" ht="234.6" customHeight="1">
      <c r="A32" s="115"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1" t="s">
        <v>1307</v>
      </c>
    </row>
    <row r="33" spans="1:2" ht="75">
      <c r="A33" s="115"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1"/>
    </row>
    <row r="34" spans="1:2" ht="60">
      <c r="A34" s="115"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1" t="s">
        <v>1304</v>
      </c>
    </row>
    <row r="35" spans="1:2" ht="21" customHeight="1">
      <c r="A35" s="115" t="str">
        <f ca="1">OFFSET(L!$C$1,MATCH("Instructions"&amp;ADDRESS(ROW(),COLUMN(),4),L!$A:$A,0)-1,SL,,)</f>
        <v>Geben Sie, falls notwendig, Anmerkungen im Kommentarbereich ein, die für eine Klarstellung ihrer Antwort hilfreich sind.</v>
      </c>
      <c r="B35" s="111"/>
    </row>
    <row r="36" spans="1:2" ht="15">
      <c r="A36" s="119"/>
      <c r="B36" s="111"/>
    </row>
    <row r="37" spans="1:2" ht="45">
      <c r="A37" s="118"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1" t="s">
        <v>1304</v>
      </c>
    </row>
    <row r="38" spans="1:2" ht="135">
      <c r="A38" s="115"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11" t="s">
        <v>1306</v>
      </c>
    </row>
    <row r="39" spans="1:2" ht="60">
      <c r="A39" s="115"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1"/>
    </row>
    <row r="40" spans="1:2" ht="65.650000000000006" customHeight="1">
      <c r="A40" s="115"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1"/>
    </row>
    <row r="41" spans="1:2" ht="75">
      <c r="A41" s="115"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11" t="s">
        <v>1309</v>
      </c>
    </row>
    <row r="42" spans="1:2" ht="180">
      <c r="A42" s="115"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1" t="s">
        <v>1307</v>
      </c>
    </row>
    <row r="43" spans="1:2" ht="150">
      <c r="A43" s="115"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1" t="s">
        <v>1308</v>
      </c>
    </row>
    <row r="44" spans="1:2" ht="135">
      <c r="A44" s="115"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1" t="s">
        <v>1304</v>
      </c>
    </row>
    <row r="45" spans="1:2" ht="120">
      <c r="A45" s="115"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1" t="s">
        <v>1305</v>
      </c>
    </row>
    <row r="46" spans="1:2" ht="85.5" customHeight="1">
      <c r="A46" s="115"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1" t="s">
        <v>1304</v>
      </c>
    </row>
    <row r="47" spans="1:2" ht="15">
      <c r="A47" s="119"/>
      <c r="B47" s="111"/>
    </row>
    <row r="48" spans="1:2" ht="30">
      <c r="A48" s="118" t="str">
        <f ca="1">OFFSET(L!$C$1,MATCH("Instructions"&amp;ADDRESS(ROW(),COLUMN(),4),L!$A:$A,0)-1,SL,,)</f>
        <v>Anleitung zum Ausfüllen des Reiters "Smelter List". Bitte machen Sie ihre Angaben nur in englischer Sprache.</v>
      </c>
      <c r="B48" s="111" t="s">
        <v>1304</v>
      </c>
    </row>
    <row r="49" spans="1:2" ht="22.5" customHeight="1">
      <c r="A49" s="281" t="str">
        <f ca="1">OFFSET(L!$C$1,MATCH("Instructions"&amp;ADDRESS(ROW(),COLUMN(),4),L!$A:$A,0)-1,SL,,)</f>
        <v>Hinweis: Spalten mit (*) sind Pflichtfelder</v>
      </c>
      <c r="B49" s="111"/>
    </row>
    <row r="50" spans="1:2" ht="60">
      <c r="A50" s="115"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11" t="s">
        <v>1303</v>
      </c>
    </row>
    <row r="51" spans="1:2" ht="51" customHeight="1">
      <c r="A51" s="115"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11" t="s">
        <v>1304</v>
      </c>
    </row>
    <row r="52" spans="1:2" ht="44.65" customHeight="1">
      <c r="A52" s="115" t="str">
        <f ca="1">OFFSET(L!$C$1,MATCH("Instructions"&amp;ADDRESS(ROW(),COLUMN(),4),L!$A:$A,0)-1,SL,,)</f>
        <v>2.  Metall ( * ) - Verwenden Sie das Pull-down-Menü, um das Metall auszuwählen,  für welches Sie Informationen über die Schmelzhütte eingeben. Dies ist ein Pflichteingabefeld.</v>
      </c>
      <c r="B52" s="111"/>
    </row>
    <row r="53" spans="1:2" ht="79.150000000000006" customHeight="1">
      <c r="A53" s="180"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11" t="s">
        <v>1304</v>
      </c>
    </row>
    <row r="54" spans="1:2" ht="60">
      <c r="A54" s="115"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11" t="s">
        <v>1303</v>
      </c>
    </row>
    <row r="55" spans="1:2" ht="75">
      <c r="A55" s="115"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11" t="s">
        <v>1309</v>
      </c>
    </row>
    <row r="56" spans="1:2" ht="60">
      <c r="A56" s="115"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11" t="s">
        <v>1303</v>
      </c>
    </row>
    <row r="57" spans="1:2" ht="60">
      <c r="A57" s="115"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11" t="s">
        <v>1303</v>
      </c>
    </row>
    <row r="58" spans="1:2" ht="60">
      <c r="A58" s="115" t="str">
        <f ca="1">OFFSET(L!$C$1,MATCH("Instructions"&amp;ADDRESS(ROW(),COLUMN(),4),L!$A:$A,0)-1,SL,,)</f>
        <v>8. Straße der Schmelzhütte – Geben Sie den Straßennamen des Schmelzhüttenstandortes an. Das Ausfüllen dieses Feldes ist freiwillig.</v>
      </c>
      <c r="B58" s="111" t="s">
        <v>1303</v>
      </c>
    </row>
    <row r="59" spans="1:2" ht="30">
      <c r="A59" s="115" t="str">
        <f ca="1">OFFSET(L!$C$1,MATCH("Instructions"&amp;ADDRESS(ROW(),COLUMN(),4),L!$A:$A,0)-1,SL,,)</f>
        <v>9. Ort der Schmelzhütte – Geben Sie den Namen des Ortes an, in dem sich die Schmelzhütte befindet. Das Ausfüllen dieses Feldes ist freiwillig.</v>
      </c>
      <c r="B59" s="111" t="s">
        <v>1304</v>
      </c>
    </row>
    <row r="60" spans="1:2" ht="45" customHeight="1">
      <c r="A60" s="115" t="str">
        <f ca="1">OFFSET(L!$C$1,MATCH("Instructions"&amp;ADDRESS(ROW(),COLUMN(),4),L!$A:$A,0)-1,SL,,)</f>
        <v>10. Standort der Schmelzhütte: Ggf. Bundesland/Region/Provinz – Geben Sie das Bundesland oder die Region/Provinz des Schmelzhüttenstandortes an. Das Ausfüllen dieses Feldes ist freiwillig.</v>
      </c>
      <c r="B60" s="111" t="s">
        <v>1307</v>
      </c>
    </row>
    <row r="61" spans="1:2" ht="180">
      <c r="A61" s="115"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1" t="s">
        <v>1307</v>
      </c>
    </row>
    <row r="62" spans="1:2" ht="60">
      <c r="A62" s="115"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11" t="s">
        <v>1303</v>
      </c>
    </row>
    <row r="63" spans="1:2" ht="125.45" customHeight="1">
      <c r="A63" s="115"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11" t="s">
        <v>1303</v>
      </c>
    </row>
    <row r="64" spans="1:2" ht="136.15" customHeight="1">
      <c r="A64" s="115"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11"/>
    </row>
    <row r="65" spans="1:2" ht="90">
      <c r="A65" s="115"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11"/>
    </row>
    <row r="66" spans="1:2" ht="110.25" customHeight="1">
      <c r="A66" s="115" t="str">
        <f ca="1">OFFSET(L!$C$1,MATCH("Instructions"&amp;ADDRESS(ROW(),COLUMN(),4),L!$A:$A,0)-1,SL,,)</f>
        <v xml:space="preserve">16. Anmerkungen - geben Sie Ihre Anmerkungen zu den Schmelzhütten in das Textfeld ein. Beispiel: Smelter is being acquired by Company YYY </v>
      </c>
      <c r="B66" s="111"/>
    </row>
    <row r="67" spans="1:2" s="28" customFormat="1" ht="15">
      <c r="A67" s="120"/>
      <c r="B67" s="111"/>
    </row>
    <row r="68" spans="1:2" s="28" customFormat="1" ht="34.5" customHeight="1">
      <c r="A68" s="118" t="str">
        <f ca="1">OFFSET(L!$C$1,MATCH("Instructions"&amp;ADDRESS(ROW(),COLUMN(),4),L!$A:$A,0)-1,SL,,)</f>
        <v>Allgemeine Geschäftsbedingungen (AGB)</v>
      </c>
      <c r="B68" s="111"/>
    </row>
    <row r="69" spans="1:2" s="28" customFormat="1" ht="15">
      <c r="A69" s="120"/>
      <c r="B69" s="111"/>
    </row>
    <row r="70" spans="1:2" ht="80.650000000000006" customHeight="1">
      <c r="A70" s="118"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1" t="s">
        <v>1304</v>
      </c>
    </row>
    <row r="71" spans="1:2" ht="93.6" customHeight="1">
      <c r="A71" s="281"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1" t="s">
        <v>1310</v>
      </c>
    </row>
    <row r="72" spans="1:2" ht="155.44999999999999" customHeight="1">
      <c r="A72" s="281"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1" t="s">
        <v>1308</v>
      </c>
    </row>
    <row r="73" spans="1:2" ht="75">
      <c r="A73" s="281"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Posten</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Zinn, Tantal, Wolfram, Gold</v>
      </c>
      <c r="D3" s="384"/>
      <c r="E3" s="122" t="s">
        <v>1312</v>
      </c>
    </row>
    <row r="4" spans="1:5" ht="63.75" customHeight="1">
      <c r="A4" s="84"/>
      <c r="B4" s="71" t="str">
        <f ca="1">OFFSET(L!$C$1,MATCH("Definitions"&amp;ADDRESS(ROW(),COLUMN(),4),L!$A:$A,0)-1,SL,,)</f>
        <v>Bevollmächtigter</v>
      </c>
      <c r="C4" s="71"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4"/>
      <c r="E4" s="122"/>
    </row>
    <row r="5" spans="1:5" ht="60">
      <c r="A5" s="84"/>
      <c r="B5" s="71" t="str">
        <f ca="1">OFFSET(L!$C$1,MATCH("Definitions"&amp;ADDRESS(ROW(),COLUMN(),4),L!$A:$A,0)-1,SL,,)</f>
        <v>Konflikt- und Hochrisikogebiete (CAHRA)</v>
      </c>
      <c r="C5" s="71"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4"/>
      <c r="E5" s="122"/>
    </row>
    <row r="6" spans="1:5" ht="151.15" customHeight="1">
      <c r="A6" s="84"/>
      <c r="B6" s="71" t="str">
        <f ca="1">OFFSET(L!$C$1,MATCH("Definitions"&amp;ADDRESS(ROW(),COLUMN(),4),L!$A:$A,0)-1,SL,,)</f>
        <v>Konfliktmineral</v>
      </c>
      <c r="C6" s="71"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4"/>
      <c r="E6" s="122" t="s">
        <v>1313</v>
      </c>
    </row>
    <row r="7" spans="1:5" ht="105.6" customHeight="1">
      <c r="A7" s="84"/>
      <c r="B7" s="71" t="str">
        <f ca="1">OFFSET(L!$C$1,MATCH("Definitions"&amp;ADDRESS(ROW(),COLUMN(),4),L!$A:$A,0)-1,SL,,)</f>
        <v>umfassendes Land(er)</v>
      </c>
      <c r="C7" s="71"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4"/>
      <c r="E7" s="122" t="s">
        <v>1313</v>
      </c>
    </row>
    <row r="8" spans="1:5" ht="135">
      <c r="A8" s="84"/>
      <c r="B8" s="71" t="str">
        <f ca="1">OFFSET(L!$C$1,MATCH("Definitions"&amp;ADDRESS(ROW(),COLUMN(),4),L!$A:$A,0)-1,SL,,)</f>
        <v>Erklärung Anwendungsbereich oder Klasse</v>
      </c>
      <c r="C8" s="71"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4"/>
      <c r="E8" s="122" t="s">
        <v>1316</v>
      </c>
    </row>
    <row r="9" spans="1:5" ht="60">
      <c r="A9" s="84"/>
      <c r="B9" s="71" t="str">
        <f ca="1">OFFSET(L!$C$1,MATCH("Definitions"&amp;ADDRESS(ROW(),COLUMN(),4),L!$A:$A,0)-1,SL,,)</f>
        <v>Dodd-Frank</v>
      </c>
      <c r="C9" s="71" t="str">
        <f ca="1">OFFSET(L!$C$1,MATCH("Definitions"&amp;ADDRESS(ROW(),COLUMN(),4),L!$A:$A,0)-1,SL,,)</f>
        <v>2010 US Gesetzgebung, Dodd-Frank-Walls Street Reform and Consumer Protection Art, Section 1502 ("Dodd-Frank") (http://www.sec.gov/about/laws/wallstreetreform-cpa.pdf)</v>
      </c>
      <c r="D9" s="384"/>
      <c r="E9" s="122" t="s">
        <v>1313</v>
      </c>
    </row>
    <row r="10" spans="1:5" ht="45">
      <c r="A10" s="84"/>
      <c r="B10" s="71" t="str">
        <f ca="1">OFFSET(L!$C$1,MATCH("Definitions"&amp;ADDRESS(ROW(),COLUMN(),4),L!$A:$A,0)-1,SL,,)</f>
        <v>DRK</v>
      </c>
      <c r="C10" s="71" t="str">
        <f ca="1">OFFSET(L!$C$1,MATCH("Definitions"&amp;ADDRESS(ROW(),COLUMN(),4),L!$A:$A,0)-1,SL,,)</f>
        <v>Demokratische Republik Kongo</v>
      </c>
      <c r="D10" s="384"/>
      <c r="E10" s="122" t="s">
        <v>1312</v>
      </c>
    </row>
    <row r="11" spans="1:5" ht="60" hidden="1">
      <c r="A11" s="84"/>
      <c r="B11" s="71" t="str">
        <f ca="1">OFFSET(L!$C$1,MATCH("Definitions"&amp;ADDRESS(ROW(),COLUMN(),4),L!$A:$A,0)-1,SL,,)</f>
        <v>DRK Konflikt-Frei</v>
      </c>
      <c r="C11" s="71"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4"/>
      <c r="E11" s="122" t="s">
        <v>1312</v>
      </c>
    </row>
    <row r="12" spans="1:5" ht="60">
      <c r="A12" s="84"/>
      <c r="B12" s="71" t="str">
        <f ca="1">OFFSET(L!$C$1,MATCH("Definitions"&amp;ADDRESS(ROW(),COLUMN(),4),L!$A:$A,0)-1,SL,,)</f>
        <v>Gold (Au) Raffinerie (Schmelzhutte)</v>
      </c>
      <c r="C12" s="71"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84"/>
      <c r="E12" s="122" t="s">
        <v>1312</v>
      </c>
    </row>
    <row r="13" spans="1:5" ht="107.25" customHeight="1">
      <c r="A13" s="84"/>
      <c r="B13" s="71" t="str">
        <f ca="1">OFFSET(L!$C$1,MATCH("Definitions"&amp;ADDRESS(ROW(),COLUMN(),4),L!$A:$A,0)-1,SL,,)</f>
        <v>Unabhängige Private Wirtschaftsprüfungsgesellschaft</v>
      </c>
      <c r="C13" s="71"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4"/>
      <c r="E13" s="122" t="s">
        <v>1314</v>
      </c>
    </row>
    <row r="14" spans="1:5" ht="300">
      <c r="A14" s="84"/>
      <c r="B14" s="71" t="str">
        <f ca="1">OFFSET(L!$C$1,MATCH("Definitions"&amp;ADDRESS(ROW(),COLUMN(),4),L!$A:$A,0)-1,SL,,)</f>
        <v>Absichtlich hinzugefügt</v>
      </c>
      <c r="C14" s="71"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4"/>
      <c r="E14" s="122" t="s">
        <v>1312</v>
      </c>
    </row>
    <row r="15" spans="1:5" ht="135">
      <c r="A15" s="84"/>
      <c r="B15" s="71" t="str">
        <f ca="1">OFFSET(L!$C$1,MATCH("Definitions"&amp;ADDRESS(ROW(),COLUMN(),4),L!$A:$A,0)-1,SL,,)</f>
        <v>IPC</v>
      </c>
      <c r="C15" s="71"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4"/>
      <c r="E15" s="122" t="s">
        <v>1312</v>
      </c>
    </row>
    <row r="16" spans="1:5" ht="60">
      <c r="A16" s="84"/>
      <c r="B16" s="71" t="str">
        <f ca="1">OFFSET(L!$C$1,MATCH("Definitions"&amp;ADDRESS(ROW(),COLUMN(),4),L!$A:$A,0)-1,SL,,)</f>
        <v>IPC-1755 Responsible Minerals Data Exchange Standard</v>
      </c>
      <c r="C16" s="71"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4"/>
      <c r="E16" s="122" t="s">
        <v>1312</v>
      </c>
    </row>
    <row r="17" spans="1:5" ht="180">
      <c r="A17" s="84"/>
      <c r="B17" s="71" t="str">
        <f ca="1">OFFSET(L!$C$1,MATCH("Definitions"&amp;ADDRESS(ROW(),COLUMN(),4),L!$A:$A,0)-1,SL,,)</f>
        <v>Erforderlich für die Funktionalität des Produkts</v>
      </c>
      <c r="C17" s="71"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4"/>
      <c r="E17" s="122" t="s">
        <v>1312</v>
      </c>
    </row>
    <row r="18" spans="1:5" ht="150">
      <c r="A18" s="84"/>
      <c r="B18" s="71" t="str">
        <f ca="1">OFFSET(L!$C$1,MATCH("Definitions"&amp;ADDRESS(ROW(),COLUMN(),4),L!$A:$A,0)-1,SL,,)</f>
        <v>Erforderlich für die Herstellung eines Produkt</v>
      </c>
      <c r="C18" s="71"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4"/>
      <c r="E18" s="122" t="s">
        <v>1312</v>
      </c>
    </row>
    <row r="19" spans="1:5" ht="15">
      <c r="A19" s="84"/>
      <c r="B19" s="71" t="str">
        <f ca="1">OFFSET(L!$C$1,MATCH("Definitions"&amp;ADDRESS(ROW(),COLUMN(),4),L!$A:$A,0)-1,SL,,)</f>
        <v>OECD</v>
      </c>
      <c r="C19" s="71" t="str">
        <f ca="1">OFFSET(L!$C$1,MATCH("Definitions"&amp;ADDRESS(ROW(),COLUMN(),4),L!$A:$A,0)-1,SL,,)</f>
        <v>Organisation für wirtschaftliche Zusammenarbeit und Entwicklung</v>
      </c>
      <c r="D19" s="384"/>
      <c r="E19" s="122"/>
    </row>
    <row r="20" spans="1:5" ht="45">
      <c r="A20" s="84"/>
      <c r="B20" s="71" t="str">
        <f ca="1">OFFSET(L!$C$1,MATCH("Definitions"&amp;ADDRESS(ROW(),COLUMN(),4),L!$A:$A,0)-1,SL,,)</f>
        <v>Produkt</v>
      </c>
      <c r="C20" s="71"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Recycling oder Schrott Quellen</v>
      </c>
      <c r="C22" s="71"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4"/>
      <c r="E22" s="122"/>
    </row>
    <row r="23" spans="1:5" ht="60">
      <c r="A23" s="84"/>
      <c r="B23" s="71" t="str">
        <f ca="1">OFFSET(L!$C$1,MATCH("Definitions"&amp;ADDRESS(ROW(),COLUMN(),4),L!$A:$A,0)-1,SL,,)</f>
        <v>Responsible Minerals Assurance Process (RMAP)</v>
      </c>
      <c r="C23" s="71"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4"/>
      <c r="E24" s="122"/>
    </row>
    <row r="25" spans="1:5" ht="177.6" customHeight="1">
      <c r="A25" s="84"/>
      <c r="B25" s="71" t="str">
        <f ca="1">OFFSET(L!$C$1,MATCH("Definitions"&amp;ADDRESS(ROW(),COLUMN(),4),L!$A:$A,0)-1,SL,,)</f>
        <v>RMAP Compliant Smelter Liste</v>
      </c>
      <c r="C25" s="71"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Schmelzhütte</v>
      </c>
      <c r="C27" s="71"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4"/>
      <c r="E27" s="122" t="s">
        <v>1312</v>
      </c>
    </row>
    <row r="28" spans="1:5" ht="60">
      <c r="A28" s="84"/>
      <c r="B28" s="71" t="str">
        <f ca="1">OFFSET(L!$C$1,MATCH("Definitions"&amp;ADDRESS(ROW(),COLUMN(),4),L!$A:$A,0)-1,SL,,)</f>
        <v>Schmelzhütte Id-Nummer</v>
      </c>
      <c r="C28" s="71"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4"/>
      <c r="E28" s="122" t="s">
        <v>1313</v>
      </c>
    </row>
    <row r="29" spans="1:5" ht="90">
      <c r="A29" s="84"/>
      <c r="B29" s="71" t="str">
        <f ca="1">OFFSET(L!$C$1,MATCH("Definitions"&amp;ADDRESS(ROW(),COLUMN(),4),L!$A:$A,0)-1,SL,,)</f>
        <v>Tantal (Ta) Schmelzhütte</v>
      </c>
      <c r="C29" s="71"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84"/>
      <c r="E29" s="122" t="s">
        <v>1314</v>
      </c>
    </row>
    <row r="30" spans="1:5" ht="151.9" customHeight="1">
      <c r="A30" s="84"/>
      <c r="B30" s="71" t="str">
        <f ca="1">OFFSET(L!$C$1,MATCH("Definitions"&amp;ADDRESS(ROW(),COLUMN(),4),L!$A:$A,0)-1,SL,,)</f>
        <v>Zinn (Sn) Schmelzhütte</v>
      </c>
      <c r="C30" s="71"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84"/>
      <c r="E30" s="122" t="s">
        <v>1315</v>
      </c>
    </row>
    <row r="31" spans="1:5" ht="136.9" customHeight="1">
      <c r="A31" s="84"/>
      <c r="B31" s="71" t="str">
        <f ca="1">OFFSET(L!$C$1,MATCH("Definitions"&amp;ADDRESS(ROW(),COLUMN(),4),L!$A:$A,0)-1,SL,,)</f>
        <v>Wolfram (W) Schmelzhütte</v>
      </c>
      <c r="C31" s="71"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89" sqref="D89:E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536</v>
      </c>
      <c r="E3" s="12"/>
      <c r="F3" s="420"/>
      <c r="G3" s="420"/>
      <c r="H3" s="420"/>
      <c r="I3" s="175"/>
      <c r="J3" s="160" t="s">
        <v>15654</v>
      </c>
      <c r="K3" s="44"/>
      <c r="L3" s="133"/>
      <c r="M3" s="124"/>
      <c r="N3" s="124"/>
      <c r="O3" s="125"/>
      <c r="P3" s="138">
        <f>MATCH($D$3,LN,0)</f>
        <v>7</v>
      </c>
    </row>
    <row r="4" spans="1:34" ht="15.75">
      <c r="A4" s="42"/>
      <c r="B4" s="416" t="str">
        <f ca="1">OFFSET(L!$C$1,MATCH("Declaration"&amp;ADDRESS(ROW(),COLUMN(),4),L!$A:$A,0)-1,SL,,)</f>
        <v>Der Zweck dieses Dokuments ist die Erfassung von Beschaffungsinformationen für Zinn, Tantal, Wolfram und Gold, welche in Produkten genutzt werden.</v>
      </c>
      <c r="C4" s="416"/>
      <c r="D4" s="416"/>
      <c r="E4" s="416"/>
      <c r="F4" s="416"/>
      <c r="G4" s="416"/>
      <c r="H4" s="416"/>
      <c r="I4" s="421" t="str">
        <f ca="1">OFFSET(L!$C$1,MATCH("Declaration"&amp;ADDRESS(ROW(),COLUMN(),4),L!$A:$A,0)-1,SL,,)</f>
        <v>Link zu den Bedingungen</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C</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Pflichtfelder sind mit einem Sternchen (*) gekennzeichnet.  Im Tab „Instruktionen“ finden Sie eine Anleitung zur Beantwortung aller Fragen.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Firmenangaben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Firmenname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Geltungsbereich der Erklärung (*):</v>
      </c>
      <c r="C9" s="86"/>
      <c r="D9" s="422" t="s">
        <v>496</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Beschreibung des Geltungsbereichs (*):</v>
      </c>
      <c r="C10" s="144"/>
      <c r="D10" s="417" t="s">
        <v>15656</v>
      </c>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Eindeutige Unternehmenskennung:</v>
      </c>
      <c r="C12" s="87"/>
      <c r="D12" s="413" t="s">
        <v>15657</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Zuständige Stelle im Unternehmen:</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Adresse:</v>
      </c>
      <c r="C14" s="87"/>
      <c r="D14" s="413" t="s">
        <v>15658</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Name des Ansprechpartners (*):</v>
      </c>
      <c r="C15" s="87"/>
      <c r="D15" s="413" t="s">
        <v>15659</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E-Mail-Adresse des Ansprechpartners (*):</v>
      </c>
      <c r="C16" s="87"/>
      <c r="D16" s="428" t="s">
        <v>15660</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Telefonnummer des Ansprechpartners (*):</v>
      </c>
      <c r="C17" s="87"/>
      <c r="D17" s="413" t="s">
        <v>15661</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Bevollmächtigter (*):</v>
      </c>
      <c r="C18" s="87"/>
      <c r="D18" s="446" t="s">
        <v>15659</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Titel des Bevollmächtigten:</v>
      </c>
      <c r="C19" s="87"/>
      <c r="D19" s="413"/>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E-Mail-Adresse des Bevollmächtigten (*):</v>
      </c>
      <c r="C20" s="87"/>
      <c r="D20" s="428" t="s">
        <v>15660</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Telefonnummer des Bevollmächtigten:</v>
      </c>
      <c r="C21" s="155"/>
      <c r="D21" s="386" t="s">
        <v>15661</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Datum (*):</v>
      </c>
      <c r="C22" s="88"/>
      <c r="D22" s="391">
        <v>44742</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Beantworten Sie die Fragen 1 - 8 entsprechend dem oben angegebenen Geltungsbereich</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Wird absichtlich ein 3TG-Mineral im Herstellungsprozess verwendet oder in das/die Produkt(e) aufgenommen? (*)</v>
      </c>
      <c r="C25" s="20"/>
      <c r="D25" s="400" t="str">
        <f ca="1">OFFSET(L!$C$1,MATCH("Declaration"&amp;ADDRESS(ROW(),COLUMN(),4),L!$A:$A,0)-1,SL,,)</f>
        <v>Antwort</v>
      </c>
      <c r="E25" s="400"/>
      <c r="F25" s="21"/>
      <c r="G25" s="52" t="str">
        <f ca="1">OFFSET(L!$C$1,MATCH("Declaration"&amp;ADDRESS(ROW(),COLUMN(),4),L!$A:$A,0)-1,SL,,)</f>
        <v>Kommentare</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Zinn  </v>
      </c>
      <c r="C27" s="43"/>
      <c r="D27" s="389" t="s">
        <v>489</v>
      </c>
      <c r="E27" s="390"/>
      <c r="F27" s="15"/>
      <c r="G27" s="397"/>
      <c r="H27" s="398"/>
      <c r="I27" s="398"/>
      <c r="J27" s="399"/>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7"/>
      <c r="H28" s="398"/>
      <c r="I28" s="398"/>
      <c r="J28" s="399"/>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Wolfram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 xml:space="preserve">2) Liegen in dem/den Produkt(en) 3TG-Rückstände vor? </v>
      </c>
      <c r="C31" s="13"/>
      <c r="D31" s="394" t="str">
        <f ca="1">D25</f>
        <v>Antwort</v>
      </c>
      <c r="E31" s="394"/>
      <c r="F31" s="21"/>
      <c r="G31" s="52" t="str">
        <f ca="1">G25</f>
        <v>Kommentare</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Zinn  </v>
      </c>
      <c r="C33" s="13"/>
      <c r="D33" s="389"/>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Wolfram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Beschaffen Schmelzhütten in Ihrer Lieferkette das 3TG-Mineral aus den umfassten Ländern? (SEC-Begriff, siehe Definitions-Tab)</v>
      </c>
      <c r="C37" s="13"/>
      <c r="D37" s="394" t="str">
        <f ca="1">D25</f>
        <v>Antwort</v>
      </c>
      <c r="E37" s="394"/>
      <c r="F37" s="21"/>
      <c r="G37" s="52" t="str">
        <f ca="1">G25</f>
        <v>Kommentare</v>
      </c>
      <c r="H37" s="437"/>
      <c r="I37" s="437"/>
      <c r="J37" s="437"/>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Zinn  </v>
      </c>
      <c r="C39" s="13"/>
      <c r="D39" s="389"/>
      <c r="E39" s="390"/>
      <c r="F39" s="55"/>
      <c r="G39" s="397"/>
      <c r="H39" s="398"/>
      <c r="I39" s="398"/>
      <c r="J39" s="399"/>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7"/>
      <c r="H40" s="398"/>
      <c r="I40" s="398"/>
      <c r="J40" s="399"/>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Wolfram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Beziehen Schmelzhütten in Ihrer Lieferkette ihre 3TG aus von Konflikten betroffenen und risikoreichen Gebieten?</v>
      </c>
      <c r="C43" s="13"/>
      <c r="D43" s="394" t="str">
        <f ca="1">D25</f>
        <v>Antwort</v>
      </c>
      <c r="E43" s="394"/>
      <c r="F43" s="21"/>
      <c r="G43" s="52" t="str">
        <f ca="1">G25</f>
        <v>Kommentare</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Zinn  </v>
      </c>
      <c r="C45" s="13"/>
      <c r="D45" s="389"/>
      <c r="E45" s="390"/>
      <c r="F45" s="55"/>
      <c r="G45" s="397"/>
      <c r="H45" s="398"/>
      <c r="I45" s="398"/>
      <c r="J45" s="399"/>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7"/>
      <c r="H46" s="398"/>
      <c r="I46" s="398"/>
      <c r="J46" s="399"/>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Wolfram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Stammt das für die Funktionalität oder  Herstellung Ihrer Produkte benötigte 3TG-Mineral zu 100 % aus Recycling- oder Schrottquellen? </v>
      </c>
      <c r="C49" s="13"/>
      <c r="D49" s="394" t="str">
        <f ca="1">D25</f>
        <v>Antwort</v>
      </c>
      <c r="E49" s="394"/>
      <c r="F49" s="21"/>
      <c r="G49" s="52" t="str">
        <f ca="1">G25</f>
        <v>Kommentare</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Zinn  </v>
      </c>
      <c r="C51" s="13"/>
      <c r="D51" s="389"/>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Wolfram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Wie hoch ist der Prozentsatz an Lieferanten, die auf Ihre Lieferkettenumfrage geantwortet haben?</v>
      </c>
      <c r="C55" s="13"/>
      <c r="D55" s="394" t="str">
        <f ca="1">D25</f>
        <v>Antwort</v>
      </c>
      <c r="E55" s="394"/>
      <c r="F55" s="21"/>
      <c r="G55" s="52" t="str">
        <f ca="1">G25</f>
        <v>Kommentare</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Zinn  </v>
      </c>
      <c r="C57" s="43"/>
      <c r="D57" s="431"/>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31"/>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Wolfram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 xml:space="preserve">7) Haben Sie alle Schmelzhütten ermittelt, die das 3TG-Mineral für Ihre Lieferkette bereitstellen? </v>
      </c>
      <c r="C61" s="13"/>
      <c r="D61" s="394" t="str">
        <f ca="1">D25</f>
        <v>Antwort</v>
      </c>
      <c r="E61" s="394"/>
      <c r="F61" s="21"/>
      <c r="G61" s="52" t="str">
        <f ca="1">G25</f>
        <v>Kommentare</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Zinn  </v>
      </c>
      <c r="C63" s="13"/>
      <c r="D63" s="389"/>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Wolfram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Haben Sie alle relevanten Informationen, die Ihr Unternehmen zu den Schmelzhütten erhalten hat, in dieser Erklärung aufgeführt? </v>
      </c>
      <c r="C67" s="13"/>
      <c r="D67" s="394" t="str">
        <f ca="1">D25</f>
        <v>Antwort</v>
      </c>
      <c r="E67" s="394"/>
      <c r="F67" s="21"/>
      <c r="G67" s="52" t="str">
        <f ca="1">G25</f>
        <v>Kommentare</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Zinn  </v>
      </c>
      <c r="C69" s="43"/>
      <c r="D69" s="389"/>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Wolfram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Beantworten Sie folgende Fragen auf Firmenebene</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Frage</v>
      </c>
      <c r="C74" s="91"/>
      <c r="D74" s="400" t="str">
        <f ca="1">D25</f>
        <v>Antwort</v>
      </c>
      <c r="E74" s="400"/>
      <c r="F74" s="61"/>
      <c r="G74" s="400" t="str">
        <f ca="1">G25</f>
        <v>Kommentare</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Haben Sie eine konfliktfreie Beschaffungsrichtlinie für Mineralien erstellt?</v>
      </c>
      <c r="C75" s="65"/>
      <c r="D75" s="389" t="s">
        <v>489</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Ist Ihre konfliktfreie Beschaffungsrichtlinie für Mineralien auf Ihrer Website einsehbar? (Hinweis - Wenn „Ja“, sollte der Benutzer die URL im Anmerkungsfeld angeben.)</v>
      </c>
      <c r="C77" s="65"/>
      <c r="D77" s="389" t="s">
        <v>489</v>
      </c>
      <c r="E77" s="390"/>
      <c r="F77" s="65"/>
      <c r="G77" s="401"/>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Verlangen Sie von Ihren direkten Lieferanten, das 3TG-Mineral ausschließlich von Schmelzhütten zu beziehen, deren Sorgfaltspflichts-Praktiken von einer unabhängigen Instanz überprüft wurden?</v>
      </c>
      <c r="C79" s="65"/>
      <c r="D79" s="389" t="s">
        <v>488</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Haben Sie Sorgfaltspflichtmaßnahmen für die konfliktfreie Beschaffung in Kraft gesetzt?</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Veranstaltet Ihr Unternehmen (eine) Konfliktmineralienumfrage(n) mit seinen entsprechenden Lieferanten?</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Überprüfen Sie die Sorgfaltspflichts-Informationen, die Sie von ihren Lieferanten erhalten, anhand der Erwartungen Ihres Unternehmens?</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Sieht Ihr Review-Prozess ein Korrekturmaßnahmen-Management vor?</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Ist Ihr Unternehmen zu einer jährlichen Offenlegung der Konfliktmineralien verpflichtet?</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A5" sqref="A5"/>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UM ZU BEGINNEN:</v>
      </c>
      <c r="C2" s="196"/>
      <c r="D2" s="196"/>
      <c r="E2" s="196"/>
      <c r="F2" s="222"/>
      <c r="G2" s="222"/>
      <c r="H2" s="222"/>
      <c r="I2" s="223"/>
      <c r="J2" s="450" t="str">
        <f ca="1">OFFSET(L!$C$1,MATCH("Smelter List"&amp;ADDRESS(ROW(),COLUMN(),4),L!$A:$A,0)-1,SL,,)</f>
        <v>Link zur "RMAP Conformant Smelter"- Liste</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 xml:space="preserve">Eingabespalte Schmelzhüttenidentifizierungsnummer </v>
      </c>
      <c r="B4" s="249" t="str">
        <f ca="1">OFFSET(L!$C$1,MATCH("Smelter List"&amp;ADDRESS(ROW(),COLUMN(),4),L!$A:$A,0)-1,SL,,)</f>
        <v>Metall (1)</v>
      </c>
      <c r="C4" s="249" t="str">
        <f ca="1">OFFSET(L!$C$1,MATCH("Smelter List"&amp;ADDRESS(ROW(),COLUMN(),4),L!$A:$A,0)-1,SL,,)</f>
        <v>Schmelzhüttensuche (*)</v>
      </c>
      <c r="D4" s="249" t="str">
        <f ca="1">OFFSET(L!$C$1,MATCH("Smelter List"&amp;ADDRESS(ROW(),COLUMN(),4),L!$A:$A,0)-1,SL,,)</f>
        <v>Schmelzhüttenname (1)</v>
      </c>
      <c r="E4" s="249" t="str">
        <f ca="1">OFFSET(L!$C$1,MATCH("Smelter List"&amp;ADDRESS(ROW(),COLUMN(),4),L!$A:$A,0)-1,SL,,)</f>
        <v>Schmelzhütten: Land (*)</v>
      </c>
      <c r="F4" s="249" t="str">
        <f ca="1">OFFSET(L!$C$1,MATCH("Smelter List"&amp;ADDRESS(ROW(),COLUMN(),4),L!$A:$A,0)-1,SL,,)</f>
        <v>Schmelzhütte Identifizierung</v>
      </c>
      <c r="G4" s="249" t="str">
        <f ca="1">OFFSET(L!$C$1,MATCH("Smelter List"&amp;ADDRESS(ROW(),COLUMN(),4),L!$A:$A,0)-1,SL,,)</f>
        <v>Quelle der Schmelzhütte Id-Nummer</v>
      </c>
      <c r="H4" s="166" t="str">
        <f ca="1">OFFSET(L!$C$1,MATCH("Smelter List"&amp;ADDRESS(ROW(),COLUMN(),4),L!$A:$A,0)-1,SL,,)</f>
        <v>Schmelzhütten: Straße</v>
      </c>
      <c r="I4" s="166" t="str">
        <f ca="1">OFFSET(L!$C$1,MATCH("Smelter List"&amp;ADDRESS(ROW(),COLUMN(),4),L!$A:$A,0)-1,SL,,)</f>
        <v>Schmelzhütten: Stadt</v>
      </c>
      <c r="J4" s="166" t="str">
        <f ca="1">OFFSET(L!$C$1,MATCH("Smelter List"&amp;ADDRESS(ROW(),COLUMN(),4),L!$A:$A,0)-1,SL,,)</f>
        <v>Schmelzhütten: Bundesland/Provinz</v>
      </c>
      <c r="K4" s="166" t="str">
        <f ca="1">OFFSET(L!$C$1,MATCH("Smelter List"&amp;ADDRESS(ROW(),COLUMN(),4),L!$A:$A,0)-1,SL,,)</f>
        <v xml:space="preserve">Schmelzhütten-Ansprechpartner: Name </v>
      </c>
      <c r="L4" s="166" t="str">
        <f ca="1">OFFSET(L!$C$1,MATCH("Smelter List"&amp;ADDRESS(ROW(),COLUMN(),4),L!$A:$A,0)-1,SL,,)</f>
        <v>Schmelzhütten-Ansprechpartner: E-mail</v>
      </c>
      <c r="M4" s="166" t="str">
        <f ca="1">OFFSET(L!$C$1,MATCH("Smelter List"&amp;ADDRESS(ROW(),COLUMN(),4),L!$A:$A,0)-1,SL,,)</f>
        <v>Vorgeschlagenen nächsten Schritte</v>
      </c>
      <c r="N4" s="166" t="str">
        <f ca="1">OFFSET(L!$C$1,MATCH("Smelter List"&amp;ADDRESS(ROW(),COLUMN(),4),L!$A:$A,0)-1,SL,,)</f>
        <v>Name der Mine(n) oder falls aus Recycling oder Schrott, tragen Sie "recycled" oder "Schrott" ein</v>
      </c>
      <c r="O4" s="166" t="str">
        <f ca="1">OFFSET(L!$C$1,MATCH("Smelter List"&amp;ADDRESS(ROW(),COLUMN(),4),L!$A:$A,0)-1,SL,,)</f>
        <v>Standort (Land) von Minen, falls aus Recycling oder Schrott gekauft, geben Sie "recycled" oder "Schrott" ein</v>
      </c>
      <c r="P4" s="166" t="str">
        <f ca="1">OFFSET(L!$C$1,MATCH("Smelter List"&amp;ADDRESS(ROW(),COLUMN(),4),L!$A:$A,0)-1,SL,,)</f>
        <v>Stammen 100% der Ausgangsstoffe der Schmelzhütte aus Recycling oder Schrott?</v>
      </c>
      <c r="Q4" s="167" t="str">
        <f ca="1">OFFSET(L!$C$1,MATCH("Smelter List"&amp;ADDRESS(ROW(),COLUMN(),4),L!$A:$A,0)-1,SL,,)</f>
        <v>Kommentare</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Um sicherzustellen, dass alle erforderlichen Felder vor dem Versand an ihren Kunden ausgefüllt sind, alle rot markierten Felder beachten.</v>
      </c>
      <c r="B1" s="455"/>
      <c r="C1" s="455"/>
      <c r="D1" s="140" t="str">
        <f ca="1">OFFSET(L!$C$1,MATCH("Checker"&amp;ADDRESS(ROW(),COLUMN(),4),L!$A:$A,0)-1,SL,,)</f>
        <v>Erforderliche Felder bitte vervollständigen.</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Erforderliche Felder</v>
      </c>
      <c r="B3" s="76" t="str">
        <f ca="1">OFFSET(L!$C$1,MATCH("Checker"&amp;ADDRESS(ROW(),COLUMN(),4),L!$A:$A,0)-1,SL,,)</f>
        <v>Antwort ist vorhanden</v>
      </c>
      <c r="C3" s="76" t="str">
        <f ca="1">OFFSET(L!$C$1,MATCH("Checker"&amp;ADDRESS(ROW(),COLUMN(),4),L!$A:$A,0)-1,SL,,)</f>
        <v>Notizen</v>
      </c>
      <c r="D3" s="76" t="str">
        <f ca="1">OFFSET(L!$C$1,MATCH("Checker"&amp;ADDRESS(ROW(),COLUMN(),4),L!$A:$A,0)-1,SL,,)</f>
        <v>Hyperlink zum Ursprung</v>
      </c>
      <c r="F3" s="77" t="s">
        <v>527</v>
      </c>
      <c r="G3" s="22" t="s">
        <v>526</v>
      </c>
      <c r="H3" s="22" t="s">
        <v>528</v>
      </c>
      <c r="I3" s="169" t="s">
        <v>1317</v>
      </c>
      <c r="J3" s="22" t="s">
        <v>1318</v>
      </c>
    </row>
    <row r="4" spans="1:10" ht="39">
      <c r="A4" s="100" t="str">
        <f ca="1">Declaration!B8</f>
        <v>Firmenname (*):</v>
      </c>
      <c r="B4" s="99" t="str">
        <f>Declaration!D8</f>
        <v>bda connectivity GmbH</v>
      </c>
      <c r="C4" s="99" t="str">
        <f t="shared" ref="C4" ca="1" si="0">IF(H4=1,J4,I4)</f>
        <v>Vollständig</v>
      </c>
      <c r="D4" s="105" t="str">
        <f>IF(H4=1,"Click here to enter Company Name","")</f>
        <v/>
      </c>
      <c r="E4" s="81" t="s">
        <v>1307</v>
      </c>
      <c r="F4" s="103">
        <v>1</v>
      </c>
      <c r="G4" s="78">
        <f t="shared" ref="G4" si="1">IF(B4=0,1,0)</f>
        <v>0</v>
      </c>
      <c r="H4" s="79">
        <f>F4*G4</f>
        <v>0</v>
      </c>
      <c r="I4" s="170" t="str">
        <f ca="1">OFFSET(L!$C$1,MATCH("Checker"&amp;"Comp",L!$A:$A,0)-1,SL,,)</f>
        <v>Vollständig</v>
      </c>
      <c r="J4" s="171" t="str">
        <f ca="1">OFFSET(L!$C$1,MATCH("Checker"&amp;ADDRESS(ROW(),COLUMN(),4),L!$A:$A,0)-1,SL,,)</f>
        <v>Geben Sie den Namen Ihres Unternehmens in der Reiterzelle D8 der Erklärung an</v>
      </c>
    </row>
    <row r="5" spans="1:10" ht="39">
      <c r="A5" s="100" t="str">
        <f ca="1">Declaration!B9</f>
        <v>Geltungsbereich der Erklärung (*):</v>
      </c>
      <c r="B5" s="99" t="str">
        <f>Declaration!D9</f>
        <v>C. User defined [Specify in 'Description of scope']</v>
      </c>
      <c r="C5" s="99" t="str">
        <f ca="1">IF(H5=1,J5,I5)</f>
        <v>Vollständig</v>
      </c>
      <c r="D5" s="105" t="str">
        <f>IF(H5=1,"Click here to enter Declaration Scope","")</f>
        <v/>
      </c>
      <c r="E5" s="81" t="s">
        <v>1307</v>
      </c>
      <c r="F5" s="103">
        <v>1</v>
      </c>
      <c r="G5" s="78">
        <f>IF(B5=0,1,0)</f>
        <v>0</v>
      </c>
      <c r="H5" s="79">
        <f t="shared" ref="H5" si="2">F5*G5</f>
        <v>0</v>
      </c>
      <c r="I5" s="170" t="str">
        <f ca="1">OFFSET(L!$C$1,MATCH("Checker"&amp;"Comp",L!$A:$A,0)-1,SL,,)</f>
        <v>Vollständig</v>
      </c>
      <c r="J5" s="171" t="str">
        <f ca="1">OFFSET(L!$C$1,MATCH("Checker"&amp;ADDRESS(ROW(),COLUMN(),4),L!$A:$A,0)-1,SL,,)</f>
        <v>Wählen Sie den Umfang der Erklärung in der Reiterzelle D9 der Erklärung aus</v>
      </c>
    </row>
    <row r="6" spans="1:10" ht="39">
      <c r="A6" s="100" t="str">
        <f ca="1">Declaration!B10</f>
        <v>Beschreibung des Geltungsbereichs (*):</v>
      </c>
      <c r="B6" s="99" t="str">
        <f>Declaration!D10</f>
        <v>Kabel</v>
      </c>
      <c r="C6" s="99" t="str">
        <f ca="1">IF(H6=1,J6,I6)</f>
        <v>Vollständig</v>
      </c>
      <c r="D6" s="105" t="str">
        <f>IF(H6=1,"Click here to provide a Description of Scope","")</f>
        <v/>
      </c>
      <c r="E6" s="81" t="s">
        <v>1307</v>
      </c>
      <c r="F6" s="104">
        <f>IF(OR(B5=Declaration!P9,B5=Declaration!Q9,B5=0),0,1)</f>
        <v>1</v>
      </c>
      <c r="G6" s="78">
        <f>IF(B6=0,1,0)</f>
        <v>0</v>
      </c>
      <c r="H6" s="79">
        <f t="shared" ref="H6:H17" si="3">F6*G6</f>
        <v>0</v>
      </c>
      <c r="I6" s="170" t="str">
        <f ca="1">OFFSET(L!$C$1,MATCH("Checker"&amp;"Comp",L!$A:$A,0)-1,SL,,)</f>
        <v>Vollständig</v>
      </c>
      <c r="J6" s="22" t="str">
        <f ca="1">OFFSET(L!$C$1,MATCH("Checker"&amp;ADDRESS(ROW(),COLUMN(),4),L!$A:$A,0)-1,SL,,)</f>
        <v>Geben Sie eine Beschreibung des Umfangs in der Reiterzelle D10 der Erklärung an</v>
      </c>
    </row>
    <row r="7" spans="1:10" ht="39">
      <c r="A7" s="100" t="str">
        <f ca="1">Declaration!B15</f>
        <v>Name des Ansprechpartners (*):</v>
      </c>
      <c r="B7" s="99" t="str">
        <f>Declaration!D15</f>
        <v>Juergen Speier</v>
      </c>
      <c r="C7" s="99" t="str">
        <f ca="1">IF(H7=1,J7,I7)</f>
        <v>Vollständig</v>
      </c>
      <c r="D7" s="105" t="str">
        <f>IF(H7=1,"Click here to enter Contact Name","")</f>
        <v/>
      </c>
      <c r="E7" s="81" t="s">
        <v>1307</v>
      </c>
      <c r="F7" s="142">
        <v>1</v>
      </c>
      <c r="G7" s="78">
        <f>IF(B7=0,1,0)</f>
        <v>0</v>
      </c>
      <c r="H7" s="79">
        <f t="shared" si="3"/>
        <v>0</v>
      </c>
      <c r="I7" s="170" t="str">
        <f ca="1">OFFSET(L!$C$1,MATCH("Checker"&amp;"Comp",L!$A:$A,0)-1,SL,,)</f>
        <v>Vollständig</v>
      </c>
      <c r="J7" s="22" t="str">
        <f ca="1">OFFSET(L!$C$1,MATCH("Checker"&amp;ADDRESS(ROW(),COLUMN(),4),L!$A:$A,0)-1,SL,,)</f>
        <v>Geben Sie einen Kontaktnamen in der Reiterzelle D15 der Erklärung an</v>
      </c>
    </row>
    <row r="8" spans="1:10" ht="39">
      <c r="A8" s="100" t="str">
        <f ca="1">Declaration!B16</f>
        <v>E-Mail-Adresse des Ansprechpartners (*):</v>
      </c>
      <c r="B8" s="99" t="str">
        <f>Declaration!D16</f>
        <v>juergen.speier@bda-c.com</v>
      </c>
      <c r="C8" s="99" t="str">
        <f ca="1">IF(H8=1,J8,I8)</f>
        <v>Vollständig</v>
      </c>
      <c r="D8" s="105" t="str">
        <f>IF(H8=1,"Click here to enter Email-Contact","")</f>
        <v/>
      </c>
      <c r="E8" s="81" t="s">
        <v>1307</v>
      </c>
      <c r="F8" s="142">
        <v>1</v>
      </c>
      <c r="G8" s="78">
        <f>IF(ISNUMBER(SEARCH("@",B8)),0,1)</f>
        <v>0</v>
      </c>
      <c r="H8" s="79">
        <f t="shared" si="3"/>
        <v>0</v>
      </c>
      <c r="I8" s="170" t="str">
        <f ca="1">OFFSET(L!$C$1,MATCH("Checker"&amp;"Comp",L!$A:$A,0)-1,SL,,)</f>
        <v>Vollständig</v>
      </c>
      <c r="J8" s="22" t="str">
        <f ca="1">OFFSET(L!$C$1,MATCH("Checker"&amp;ADDRESS(ROW(),COLUMN(),4),L!$A:$A,0)-1,SL,,)</f>
        <v>Geben Sie eine gültige Kontakt-E-Mail-Adresse in der Reiterzelle D16 der Erklärung an</v>
      </c>
    </row>
    <row r="9" spans="1:10" ht="39">
      <c r="A9" s="100" t="str">
        <f ca="1">Declaration!B17</f>
        <v>Telefonnummer des Ansprechpartners (*):</v>
      </c>
      <c r="B9" s="346" t="str">
        <f>Declaration!D17</f>
        <v>+49-6441-38452-56</v>
      </c>
      <c r="C9" s="99" t="str">
        <f ca="1">IF(H9=1,J9,I9)</f>
        <v>Vollständig</v>
      </c>
      <c r="D9" s="105" t="str">
        <f>IF(H9=1,"Click here to enter Phone-Contact","")</f>
        <v/>
      </c>
      <c r="E9" s="81" t="s">
        <v>1307</v>
      </c>
      <c r="F9" s="142">
        <v>1</v>
      </c>
      <c r="G9" s="78">
        <f>IF(B9=0,1,0)</f>
        <v>0</v>
      </c>
      <c r="H9" s="79">
        <f t="shared" si="3"/>
        <v>0</v>
      </c>
      <c r="I9" s="170" t="str">
        <f ca="1">OFFSET(L!$C$1,MATCH("Checker"&amp;"Comp",L!$A:$A,0)-1,SL,,)</f>
        <v>Vollständig</v>
      </c>
      <c r="J9" s="22" t="str">
        <f ca="1">OFFSET(L!$C$1,MATCH("Checker"&amp;ADDRESS(ROW(),COLUMN(),4),L!$A:$A,0)-1,SL,,)</f>
        <v>Geben Sie eine Kontakttelefonnummer in der Reiterzelle D17 der Erklärung an</v>
      </c>
    </row>
    <row r="10" spans="1:10" ht="39">
      <c r="A10" s="100" t="str">
        <f ca="1">Declaration!B18</f>
        <v>Bevollmächtigter (*):</v>
      </c>
      <c r="B10" s="99" t="str">
        <f>Declaration!D18</f>
        <v>Juergen Speier</v>
      </c>
      <c r="C10" s="99" t="str">
        <f t="shared" ref="C10" ca="1" si="4">IF(H10=1,J10,I10)</f>
        <v>Vollständig</v>
      </c>
      <c r="D10" s="105" t="str">
        <f>IF(H10=1,"Click here to enter an Authorized Company Representative's name","")</f>
        <v/>
      </c>
      <c r="E10" s="81" t="s">
        <v>1307</v>
      </c>
      <c r="F10" s="103">
        <v>1</v>
      </c>
      <c r="G10" s="78">
        <f t="shared" ref="G10" si="5">IF(B10=0,1,0)</f>
        <v>0</v>
      </c>
      <c r="H10" s="79">
        <f t="shared" si="3"/>
        <v>0</v>
      </c>
      <c r="I10" s="170"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0" t="str">
        <f ca="1">Declaration!B20</f>
        <v>E-Mail-Adresse des Bevollmächtigten (*):</v>
      </c>
      <c r="B11" s="99" t="str">
        <f>Declaration!D20</f>
        <v>juergen.speier@bda-c.com</v>
      </c>
      <c r="C11" s="99" t="str">
        <f ca="1">IF(H11=1,J11,I11)</f>
        <v>Vollständig</v>
      </c>
      <c r="D11" s="105" t="str">
        <f>IF(H11=1,"Click here to enter Representative's email","")</f>
        <v/>
      </c>
      <c r="E11" s="81" t="s">
        <v>1307</v>
      </c>
      <c r="F11" s="103">
        <v>1</v>
      </c>
      <c r="G11" s="78">
        <f>IF(ISNUMBER(SEARCH("@",B11)),0,1)</f>
        <v>0</v>
      </c>
      <c r="H11" s="79">
        <f t="shared" si="3"/>
        <v>0</v>
      </c>
      <c r="I11" s="170"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0" t="str">
        <f ca="1">Declaration!B22</f>
        <v>Datum (*):</v>
      </c>
      <c r="B12" s="101">
        <f>Declaration!D22</f>
        <v>44742</v>
      </c>
      <c r="C12" s="99" t="str">
        <f ca="1">IF(H12=1,J12,I12)</f>
        <v>Vollständig</v>
      </c>
      <c r="D12" s="105" t="str">
        <f>IF(H12=1,"Click here to enter Date of Completion","")</f>
        <v/>
      </c>
      <c r="E12" s="81" t="s">
        <v>1307</v>
      </c>
      <c r="F12" s="103">
        <v>1</v>
      </c>
      <c r="G12" s="78">
        <f>IF(B12=0,1,0)</f>
        <v>0</v>
      </c>
      <c r="H12" s="79">
        <f t="shared" si="3"/>
        <v>0</v>
      </c>
      <c r="I12" s="170" t="str">
        <f ca="1">OFFSET(L!$C$1,MATCH("Checker"&amp;"Comp",L!$A:$A,0)-1,SL,,)</f>
        <v>Vollständig</v>
      </c>
      <c r="J12" s="22" t="str">
        <f ca="1">OFFSET(L!$C$1,MATCH("Checker"&amp;ADDRESS(ROW(),COLUMN(),4),L!$A:$A,0)-1,SL,,)</f>
        <v>Geben Sie das Datum der Vervollständigung des Formulars in der Reiterzelle D22 der Erklärung an</v>
      </c>
    </row>
    <row r="13" spans="1:10" ht="63.75">
      <c r="A13" s="99" t="str">
        <f ca="1">Declaration!B25</f>
        <v>1) Wird absichtlich ein 3TG-Mineral im Herstellungsprozess verwendet oder in das/die Produkt(e) aufgenommen? (*)</v>
      </c>
      <c r="B13" s="102"/>
      <c r="C13" s="102"/>
      <c r="D13" s="106"/>
      <c r="E13" s="81" t="s">
        <v>810</v>
      </c>
      <c r="F13" s="103"/>
      <c r="G13" s="24"/>
      <c r="H13" s="80">
        <f t="shared" si="3"/>
        <v>0</v>
      </c>
    </row>
    <row r="14" spans="1:10" ht="26.25">
      <c r="A14" s="100" t="str">
        <f ca="1">Declaration!B26</f>
        <v xml:space="preserve">Tantal  </v>
      </c>
      <c r="B14" s="99" t="str">
        <f>Declaration!D26</f>
        <v>No</v>
      </c>
      <c r="C14" s="99" t="str">
        <f ca="1">IF(H14=1,J14,I14)</f>
        <v>Vollständig</v>
      </c>
      <c r="D14" s="105" t="str">
        <f>IF(H14=1,"Click here to answer question 1 for Tantalum","")</f>
        <v/>
      </c>
      <c r="E14" s="81" t="s">
        <v>806</v>
      </c>
      <c r="F14" s="103">
        <v>1</v>
      </c>
      <c r="G14" s="78">
        <f>IF(B14=0,1,0)</f>
        <v>0</v>
      </c>
      <c r="H14" s="79">
        <f t="shared" si="3"/>
        <v>0</v>
      </c>
      <c r="I14" s="170" t="str">
        <f ca="1">OFFSET(L!$C$1,MATCH("Checker"&amp;"Comp",L!$A:$A,0)-1,SL,,)</f>
        <v>Vollständig</v>
      </c>
      <c r="J14" s="171" t="str">
        <f ca="1">OFFSET(L!$C$1,MATCH("Checker"&amp;ADDRESS(ROW(),COLUMN(),4),L!$A:$A,0)-1,SL,,)</f>
        <v>Erklären Sie in der Reiterzelle D26 der Erklärung, ob Tantalum Ihren Produkten absichtlich hinzugefügt wird</v>
      </c>
    </row>
    <row r="15" spans="1:10" ht="39">
      <c r="A15" s="100" t="str">
        <f ca="1">Declaration!B27</f>
        <v xml:space="preserve">Zinn  </v>
      </c>
      <c r="B15" s="99" t="str">
        <f>Declaration!D27</f>
        <v>No</v>
      </c>
      <c r="C15" s="99" t="str">
        <f ca="1">IF(H15=1,J15,I15)</f>
        <v>Vollständig</v>
      </c>
      <c r="D15" s="105" t="str">
        <f>IF(H15=1,"Click here to answer question 1 for Tin","")</f>
        <v/>
      </c>
      <c r="E15" s="81" t="s">
        <v>807</v>
      </c>
      <c r="F15" s="103">
        <v>1</v>
      </c>
      <c r="G15" s="78">
        <f>IF(B15=0,1,0)</f>
        <v>0</v>
      </c>
      <c r="H15" s="79">
        <f t="shared" si="3"/>
        <v>0</v>
      </c>
      <c r="I15" s="170" t="str">
        <f ca="1">OFFSET(L!$C$1,MATCH("Checker"&amp;"Comp",L!$A:$A,0)-1,SL,,)</f>
        <v>Vollständig</v>
      </c>
      <c r="J15" s="171" t="str">
        <f ca="1">OFFSET(L!$C$1,MATCH("Checker"&amp;ADDRESS(ROW(),COLUMN(),4),L!$A:$A,0)-1,SL,,)</f>
        <v>Erklären Sie in der Reiterzelle D27 der Erklärung, ob Zinn Ihren Produkten absichtlich hinzugefügt wird</v>
      </c>
    </row>
    <row r="16" spans="1:10" ht="39">
      <c r="A16" s="100" t="str">
        <f ca="1">Declaration!B28</f>
        <v xml:space="preserve">Gold  </v>
      </c>
      <c r="B16" s="99" t="str">
        <f>Declaration!D28</f>
        <v>No</v>
      </c>
      <c r="C16" s="99" t="str">
        <f ca="1">IF(H16=1,J16,I16)</f>
        <v>Vollständig</v>
      </c>
      <c r="D16" s="105" t="str">
        <f>IF(H16=1,"Click here to answer question 1 for Gold","")</f>
        <v/>
      </c>
      <c r="E16" s="81" t="s">
        <v>807</v>
      </c>
      <c r="F16" s="103">
        <v>1</v>
      </c>
      <c r="G16" s="78">
        <f>IF(B16=0,1,0)</f>
        <v>0</v>
      </c>
      <c r="H16" s="79">
        <f t="shared" si="3"/>
        <v>0</v>
      </c>
      <c r="I16" s="170" t="str">
        <f ca="1">OFFSET(L!$C$1,MATCH("Checker"&amp;"Comp",L!$A:$A,0)-1,SL,,)</f>
        <v>Vollständig</v>
      </c>
      <c r="J16" s="171" t="str">
        <f ca="1">OFFSET(L!$C$1,MATCH("Checker"&amp;ADDRESS(ROW(),COLUMN(),4),L!$A:$A,0)-1,SL,,)</f>
        <v>Erklären Sie in der Reiterzelle D28 der Erklärung, ob Gold Ihren Produkten absichtlich hinzugefügt wird</v>
      </c>
    </row>
    <row r="17" spans="1:10" ht="39">
      <c r="A17" s="100" t="str">
        <f ca="1">Declaration!B29</f>
        <v xml:space="preserve">Wolfram  </v>
      </c>
      <c r="B17" s="99" t="str">
        <f>Declaration!D29</f>
        <v>No</v>
      </c>
      <c r="C17" s="99" t="str">
        <f ca="1">IF(H17=1,J17,I17)</f>
        <v>Vollständig</v>
      </c>
      <c r="D17" s="105" t="str">
        <f>IF(H17=1,"Click here to answer question 1 for Tungsten","")</f>
        <v/>
      </c>
      <c r="E17" s="81" t="s">
        <v>807</v>
      </c>
      <c r="F17" s="103">
        <v>1</v>
      </c>
      <c r="G17" s="78">
        <f>IF(B17=0,1,0)</f>
        <v>0</v>
      </c>
      <c r="H17" s="79">
        <f t="shared" si="3"/>
        <v>0</v>
      </c>
      <c r="I17" s="170" t="str">
        <f ca="1">OFFSET(L!$C$1,MATCH("Checker"&amp;"Comp",L!$A:$A,0)-1,SL,,)</f>
        <v>Vollständig</v>
      </c>
      <c r="J17" s="171" t="str">
        <f ca="1">OFFSET(L!$C$1,MATCH("Checker"&amp;ADDRESS(ROW(),COLUMN(),4),L!$A:$A,0)-1,SL,,)</f>
        <v>Erklären Sie in der Reiterzelle D29 der Erklärung, ob Tungsten Ihren Produkten absichtlich hinzugefügt wird</v>
      </c>
    </row>
    <row r="18" spans="1:10" ht="51">
      <c r="A18" s="99" t="str">
        <f ca="1">Declaration!B31</f>
        <v xml:space="preserve">2) Liegen in dem/den Produkt(en) 3TG-Rückstände vor? </v>
      </c>
      <c r="B18" s="102"/>
      <c r="C18" s="102"/>
      <c r="D18" s="106"/>
      <c r="E18" s="81" t="s">
        <v>808</v>
      </c>
      <c r="F18" s="103"/>
      <c r="G18" s="24"/>
      <c r="H18" s="24"/>
      <c r="J18" s="171"/>
    </row>
    <row r="19" spans="1:10" ht="39">
      <c r="A19" s="100" t="str">
        <f ca="1">Declaration!B32</f>
        <v xml:space="preserve">Tantal  </v>
      </c>
      <c r="B19" s="99">
        <f>IF($B$14="Yes",Declaration!D32,0)</f>
        <v>0</v>
      </c>
      <c r="C19" s="99" t="str">
        <f ca="1">IF(H19=1,J19,I19)</f>
        <v>Vollständig</v>
      </c>
      <c r="D19" s="107" t="str">
        <f>IF(H19=1,"Click here to answer question 2 for Tantalum","")</f>
        <v/>
      </c>
      <c r="E19" s="81" t="s">
        <v>807</v>
      </c>
      <c r="F19" s="104">
        <f>IF(B$14="No",0,1)</f>
        <v>0</v>
      </c>
      <c r="G19" s="78">
        <f>IF(B19=0,1,0)</f>
        <v>1</v>
      </c>
      <c r="H19" s="79">
        <f>F19*G19</f>
        <v>0</v>
      </c>
      <c r="I19" s="170" t="str">
        <f ca="1">OFFSET(L!$C$1,MATCH("Checker"&amp;"Comp",L!$A:$A,0)-1,SL,,)</f>
        <v>Vollständig</v>
      </c>
      <c r="J19" s="171" t="str">
        <f ca="1">OFFSET(L!$C$1,MATCH("Checker"&amp;ADDRESS(ROW(),COLUMN(),4),L!$A:$A,0)-1,SL,,)</f>
        <v>Erklären Sie in der Reiterzelle D32 der Erklärung, ob Tantalum für die Herstellung Ihrer Produkte erforderlich ist und ob es in den angegebenen Endprodukten enthalten ist</v>
      </c>
    </row>
    <row r="20" spans="1:10" ht="39">
      <c r="A20" s="100" t="str">
        <f ca="1">Declaration!B33</f>
        <v xml:space="preserve">Zinn  </v>
      </c>
      <c r="B20" s="99">
        <f>IF($B$15="Yes",Declaration!D33,0)</f>
        <v>0</v>
      </c>
      <c r="C20" s="99" t="str">
        <f ca="1">IF(H20=1,J20,I20)</f>
        <v>Vollständig</v>
      </c>
      <c r="D20" s="107" t="str">
        <f>IF(H20=1,"Click here to answer question 2 for Tin","")</f>
        <v/>
      </c>
      <c r="E20" s="81" t="s">
        <v>807</v>
      </c>
      <c r="F20" s="104">
        <f>IF(B$15="No",0,1)</f>
        <v>0</v>
      </c>
      <c r="G20" s="78">
        <f>IF(B20=0,1,0)</f>
        <v>1</v>
      </c>
      <c r="H20" s="79">
        <f>F20*G20</f>
        <v>0</v>
      </c>
      <c r="I20" s="170" t="str">
        <f ca="1">OFFSET(L!$C$1,MATCH("Checker"&amp;"Comp",L!$A:$A,0)-1,SL,,)</f>
        <v>Vollständig</v>
      </c>
      <c r="J20" s="171" t="str">
        <f ca="1">OFFSET(L!$C$1,MATCH("Checker"&amp;ADDRESS(ROW(),COLUMN(),4),L!$A:$A,0)-1,SL,,)</f>
        <v>Erklären Sie in der Reiterzelle D33 der Erklärung, ob Zinn für die Herstellung Ihrer Produkte erforderlich ist und ob es in den angegebenen Endprodukten enthalten ist</v>
      </c>
    </row>
    <row r="21" spans="1:10" ht="39">
      <c r="A21" s="100" t="str">
        <f ca="1">Declaration!B34</f>
        <v xml:space="preserve">Gold  </v>
      </c>
      <c r="B21" s="99">
        <f>IF($B$16="Yes",Declaration!D34,0)</f>
        <v>0</v>
      </c>
      <c r="C21" s="99" t="str">
        <f ca="1">IF(H21=1,J21,I21)</f>
        <v>Vollständig</v>
      </c>
      <c r="D21" s="107" t="str">
        <f>IF(H21=1,"Click here to answer question 2 for Gold","")</f>
        <v/>
      </c>
      <c r="E21" s="81" t="s">
        <v>807</v>
      </c>
      <c r="F21" s="104">
        <f>IF(B$16="No",0,1)</f>
        <v>0</v>
      </c>
      <c r="G21" s="78">
        <f>IF(B21=0,1,0)</f>
        <v>1</v>
      </c>
      <c r="H21" s="79">
        <f>F21*G21</f>
        <v>0</v>
      </c>
      <c r="I21" s="170" t="str">
        <f ca="1">OFFSET(L!$C$1,MATCH("Checker"&amp;"Comp",L!$A:$A,0)-1,SL,,)</f>
        <v>Vollständig</v>
      </c>
      <c r="J21" s="171" t="str">
        <f ca="1">OFFSET(L!$C$1,MATCH("Checker"&amp;ADDRESS(ROW(),COLUMN(),4),L!$A:$A,0)-1,SL,,)</f>
        <v>Erklären Sie in der Reiterzelle D34 der Erklärung, ob Gold für die Herstellung Ihrer Produkte erforderlich ist und ob es in den angegebenen Endprodukten enthalten ist</v>
      </c>
    </row>
    <row r="22" spans="1:10" ht="39">
      <c r="A22" s="100" t="str">
        <f ca="1">Declaration!B35</f>
        <v xml:space="preserve">Wolfram  </v>
      </c>
      <c r="B22" s="99">
        <f>IF($B$17="Yes",Declaration!D35,0)</f>
        <v>0</v>
      </c>
      <c r="C22" s="99" t="str">
        <f ca="1">IF(H22=1,J22,I22)</f>
        <v>Vollständig</v>
      </c>
      <c r="D22" s="107" t="str">
        <f>IF(H22=1,"Click here to answer question 2 for Tungsten","")</f>
        <v/>
      </c>
      <c r="E22" s="81" t="s">
        <v>807</v>
      </c>
      <c r="F22" s="104">
        <f>IF(B$17="No",0,1)</f>
        <v>0</v>
      </c>
      <c r="G22" s="78">
        <f>IF(B22=0,1,0)</f>
        <v>1</v>
      </c>
      <c r="H22" s="79">
        <f>F22*G22</f>
        <v>0</v>
      </c>
      <c r="I22" s="170" t="str">
        <f ca="1">OFFSET(L!$C$1,MATCH("Checker"&amp;"Comp",L!$A:$A,0)-1,SL,,)</f>
        <v>Vollständig</v>
      </c>
      <c r="J22" s="171"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99" t="str">
        <f ca="1">Declaration!B37</f>
        <v>3) Beschaffen Schmelzhütten in Ihrer Lieferkette das 3TG-Mineral aus den umfassten Ländern? (SEC-Begriff, siehe Definitions-Tab)</v>
      </c>
      <c r="B23" s="102"/>
      <c r="C23" s="102"/>
      <c r="D23" s="106"/>
      <c r="E23" s="81" t="s">
        <v>807</v>
      </c>
      <c r="F23" s="103"/>
      <c r="G23" s="24"/>
      <c r="H23" s="24"/>
      <c r="J23" s="171"/>
    </row>
    <row r="24" spans="1:10" ht="39">
      <c r="A24" s="100" t="str">
        <f ca="1">Declaration!B38</f>
        <v xml:space="preserve">Tantal  </v>
      </c>
      <c r="B24" s="99">
        <f>IF(AND($B$14="Yes",$B$19="Yes"),Declaration!D38,0)</f>
        <v>0</v>
      </c>
      <c r="C24" s="99" t="str">
        <f ca="1">IF(H24=1,J24,I24)</f>
        <v>Vollständig</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100" t="str">
        <f ca="1">Declaration!B39</f>
        <v xml:space="preserve">Zinn  </v>
      </c>
      <c r="B25" s="99">
        <f>IF(AND($B$15="Yes",$B$20="Yes"),Declaration!D39,0)</f>
        <v>0</v>
      </c>
      <c r="C25" s="99" t="str">
        <f ca="1">IF(H25=1,J25,I25)</f>
        <v>Vollständig</v>
      </c>
      <c r="D25" s="107" t="str">
        <f>IF(H25=1,"Click here to answer question 3 for Tin","")</f>
        <v/>
      </c>
      <c r="E25" s="81" t="s">
        <v>807</v>
      </c>
      <c r="F25" s="104">
        <f>IF(OR(B15="No",B20="No"),0,1)</f>
        <v>0</v>
      </c>
      <c r="G25" s="78">
        <f>IF(B25=0,1,0)</f>
        <v>1</v>
      </c>
      <c r="H25" s="79">
        <f>F25*G25</f>
        <v>0</v>
      </c>
      <c r="I25" s="170"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100" t="str">
        <f ca="1">Declaration!B40</f>
        <v xml:space="preserve">Gold  </v>
      </c>
      <c r="B26" s="99">
        <f>IF(AND($B$16="Yes",$B$21="Yes"),Declaration!D40,0)</f>
        <v>0</v>
      </c>
      <c r="C26" s="99" t="str">
        <f ca="1">IF(H26=1,J26,I26)</f>
        <v>Vollständig</v>
      </c>
      <c r="D26" s="107" t="str">
        <f>IF(H26=1,"Click here to answer question 3 for Gold","")</f>
        <v/>
      </c>
      <c r="E26" s="81" t="s">
        <v>807</v>
      </c>
      <c r="F26" s="104">
        <f>IF(OR(B16="No",B21="No"),0,1)</f>
        <v>0</v>
      </c>
      <c r="G26" s="78">
        <f>IF(B26=0,1,0)</f>
        <v>1</v>
      </c>
      <c r="H26" s="79">
        <f>F26*G26</f>
        <v>0</v>
      </c>
      <c r="I26" s="170"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100" t="str">
        <f ca="1">Declaration!B41</f>
        <v xml:space="preserve">Wolfram  </v>
      </c>
      <c r="B27" s="99">
        <f>IF(AND($B$17="Yes",$B$22="Yes"),Declaration!D41,0)</f>
        <v>0</v>
      </c>
      <c r="C27" s="99" t="str">
        <f ca="1">IF(H27=1,J27,I27)</f>
        <v>Vollständig</v>
      </c>
      <c r="D27" s="107" t="str">
        <f>IF(H27=1,"Click here to answer question 3 for Tungsten","")</f>
        <v/>
      </c>
      <c r="E27" s="81" t="s">
        <v>807</v>
      </c>
      <c r="F27" s="104">
        <f>IF(OR(B17="No",B22="No"),0,1)</f>
        <v>0</v>
      </c>
      <c r="G27" s="78">
        <f>IF(B27=0,1,0)</f>
        <v>1</v>
      </c>
      <c r="H27" s="79">
        <f>F27*G27</f>
        <v>0</v>
      </c>
      <c r="I27" s="170"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99" t="str">
        <f ca="1">Declaration!B43</f>
        <v>4) Beziehen Schmelzhütten in Ihrer Lieferkette ihre 3TG aus von Konflikten betroffenen und risikoreichen Gebieten?</v>
      </c>
      <c r="B28" s="99"/>
      <c r="C28" s="99"/>
      <c r="D28" s="107"/>
      <c r="E28" s="81"/>
      <c r="F28" s="81"/>
      <c r="G28" s="81"/>
      <c r="H28" s="24"/>
      <c r="I28" s="170"/>
    </row>
    <row r="29" spans="1:10" ht="41.1" customHeight="1">
      <c r="A29" s="100" t="str">
        <f ca="1">Declaration!B44</f>
        <v xml:space="preserve">Tantal  </v>
      </c>
      <c r="B29" s="99">
        <f>IF(AND($B$14="Yes",$B$19="Yes"),Declaration!D44,0)</f>
        <v>0</v>
      </c>
      <c r="C29" s="99" t="str">
        <f ca="1">IF(H29=1,J29,I29)</f>
        <v>Vollständig</v>
      </c>
      <c r="D29" s="314" t="str">
        <f>IF(H29=1,"Click here to answer question 4 for Tantalum","")</f>
        <v/>
      </c>
      <c r="E29" s="81"/>
      <c r="F29" s="104">
        <f>F24</f>
        <v>0</v>
      </c>
      <c r="G29" s="78">
        <f t="shared" ref="G29" si="8">IF(B29=0,1,0)</f>
        <v>1</v>
      </c>
      <c r="H29" s="79">
        <f t="shared" ref="H29" si="9">F29*G29</f>
        <v>0</v>
      </c>
      <c r="I29" s="170"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0" t="str">
        <f ca="1">Declaration!B45</f>
        <v xml:space="preserve">Zinn  </v>
      </c>
      <c r="B30" s="99">
        <f>IF(AND($B$15="Yes",$B$20="Yes"),Declaration!D45,0)</f>
        <v>0</v>
      </c>
      <c r="C30" s="99" t="str">
        <f ca="1">IF(H30=1,J30,I30)</f>
        <v>Vollständig</v>
      </c>
      <c r="D30" s="314" t="str">
        <f>IF(H30=1,"Click here to answer question 4 for Tin","")</f>
        <v/>
      </c>
      <c r="E30" s="81"/>
      <c r="F30" s="104">
        <f>F25</f>
        <v>0</v>
      </c>
      <c r="G30" s="78">
        <f>IF(B30=0,1,0)</f>
        <v>1</v>
      </c>
      <c r="H30" s="79">
        <f>F30*G30</f>
        <v>0</v>
      </c>
      <c r="I30" s="170"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0" t="str">
        <f ca="1">Declaration!B46</f>
        <v xml:space="preserve">Gold  </v>
      </c>
      <c r="B31" s="99">
        <f>IF(AND($B$16="Yes",$B$21="Yes"),Declaration!D46,0)</f>
        <v>0</v>
      </c>
      <c r="C31" s="99" t="str">
        <f ca="1">IF(H31=1,J31,I31)</f>
        <v>Vollständig</v>
      </c>
      <c r="D31" s="314" t="str">
        <f>IF(H31=1,"Click here to answer question 4 for Gold","")</f>
        <v/>
      </c>
      <c r="E31" s="81"/>
      <c r="F31" s="104">
        <f>F26</f>
        <v>0</v>
      </c>
      <c r="G31" s="78">
        <f>IF(B31=0,1,0)</f>
        <v>1</v>
      </c>
      <c r="H31" s="79">
        <f>F31*G31</f>
        <v>0</v>
      </c>
      <c r="I31" s="170"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0" t="str">
        <f ca="1">Declaration!B47</f>
        <v xml:space="preserve">Wolfram  </v>
      </c>
      <c r="B32" s="99">
        <f>IF(AND($B$17="Yes",$B$22="Yes"),Declaration!D47,0)</f>
        <v>0</v>
      </c>
      <c r="C32" s="99" t="str">
        <f ca="1">IF(H32=1,J32,I32)</f>
        <v>Vollständig</v>
      </c>
      <c r="D32" s="314" t="str">
        <f>IF(H32=1,"Click here to answer question 4 for Tungsten","")</f>
        <v/>
      </c>
      <c r="E32" s="81"/>
      <c r="F32" s="104">
        <f>F27</f>
        <v>0</v>
      </c>
      <c r="G32" s="78">
        <f>IF(B32=0,1,0)</f>
        <v>1</v>
      </c>
      <c r="H32" s="79">
        <f>F32*G32</f>
        <v>0</v>
      </c>
      <c r="I32" s="170"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99" t="str">
        <f ca="1">Declaration!B49</f>
        <v xml:space="preserve">5) Stammt das für die Funktionalität oder  Herstellung Ihrer Produkte benötigte 3TG-Mineral zu 100 % aus Recycling- oder Schrottquellen? </v>
      </c>
      <c r="B33" s="102"/>
      <c r="C33" s="102"/>
      <c r="D33" s="106"/>
      <c r="E33" s="81" t="s">
        <v>1307</v>
      </c>
      <c r="F33" s="103"/>
      <c r="G33" s="24"/>
      <c r="H33" s="24"/>
      <c r="J33" s="171"/>
    </row>
    <row r="34" spans="1:10" ht="51">
      <c r="A34" s="100" t="str">
        <f ca="1">Declaration!B50</f>
        <v xml:space="preserve">Tantal  </v>
      </c>
      <c r="B34" s="99">
        <f>IF(AND($B$14="Yes",$B$19="Yes"),Declaration!D50,0)</f>
        <v>0</v>
      </c>
      <c r="C34" s="99" t="str">
        <f ca="1">IF(H34=1,J34,I34)</f>
        <v>Vollständig</v>
      </c>
      <c r="D34" s="314" t="str">
        <f>IF(H34=1,"Click here to answer question 5 for Tantalum","")</f>
        <v/>
      </c>
      <c r="E34" s="81" t="s">
        <v>1307</v>
      </c>
      <c r="F34" s="104">
        <f>F24</f>
        <v>0</v>
      </c>
      <c r="G34" s="78">
        <f>IF(B34=0,1,0)</f>
        <v>1</v>
      </c>
      <c r="H34" s="79">
        <f>F34*G34</f>
        <v>0</v>
      </c>
      <c r="I34" s="170" t="str">
        <f ca="1">OFFSET(L!$C$1,MATCH("Checker"&amp;"Comp",L!$A:$A,0)-1,SL,,)</f>
        <v>Vollständig</v>
      </c>
      <c r="J34" s="171"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100" t="str">
        <f ca="1">Declaration!B51</f>
        <v xml:space="preserve">Zinn  </v>
      </c>
      <c r="B35" s="99">
        <f>IF(AND($B$15="Yes",$B$20="Yes"),Declaration!D51,0)</f>
        <v>0</v>
      </c>
      <c r="C35" s="99" t="str">
        <f ca="1">IF(H35=1,J35,I35)</f>
        <v>Vollständig</v>
      </c>
      <c r="D35" s="314" t="str">
        <f>IF(H35=1,"Click here to answer question 5 for Tin","")</f>
        <v/>
      </c>
      <c r="E35" s="81" t="s">
        <v>1307</v>
      </c>
      <c r="F35" s="104">
        <f>F25</f>
        <v>0</v>
      </c>
      <c r="G35" s="78">
        <f>IF(B35=0,1,0)</f>
        <v>1</v>
      </c>
      <c r="H35" s="79">
        <f>F35*G35</f>
        <v>0</v>
      </c>
      <c r="I35" s="170" t="str">
        <f ca="1">OFFSET(L!$C$1,MATCH("Checker"&amp;"Comp",L!$A:$A,0)-1,SL,,)</f>
        <v>Vollständig</v>
      </c>
      <c r="J35" s="171"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100" t="str">
        <f ca="1">Declaration!B52</f>
        <v xml:space="preserve">Gold  </v>
      </c>
      <c r="B36" s="99">
        <f>IF(AND($B$16="Yes",$B$21="Yes"),Declaration!D52,0)</f>
        <v>0</v>
      </c>
      <c r="C36" s="99" t="str">
        <f ca="1">IF(H36=1,J36,I36)</f>
        <v>Vollständig</v>
      </c>
      <c r="D36" s="314" t="str">
        <f>IF(H36=1,"Click here to answer question 5 for Gold","")</f>
        <v/>
      </c>
      <c r="E36" s="81" t="s">
        <v>1307</v>
      </c>
      <c r="F36" s="104">
        <f>F26</f>
        <v>0</v>
      </c>
      <c r="G36" s="78">
        <f>IF(B36=0,1,0)</f>
        <v>1</v>
      </c>
      <c r="H36" s="79">
        <f>F36*G36</f>
        <v>0</v>
      </c>
      <c r="I36" s="170" t="str">
        <f ca="1">OFFSET(L!$C$1,MATCH("Checker"&amp;"Comp",L!$A:$A,0)-1,SL,,)</f>
        <v>Vollständig</v>
      </c>
      <c r="J36" s="171" t="str">
        <f ca="1">OFFSET(L!$C$1,MATCH("Checker"&amp;ADDRESS(ROW(),COLUMN(),4),L!$A:$A,0)-1,SL,,)</f>
        <v>Erklären Sie in der Reiterzelle D46 der Erklärung, ob innerhalb des Umfangs der in dieser Umfrage angegebenen Produkte verwendetes Gold vollständig aus Recycling oder Schrott stammt</v>
      </c>
    </row>
    <row r="37" spans="1:10" ht="51">
      <c r="A37" s="100" t="str">
        <f ca="1">Declaration!B53</f>
        <v xml:space="preserve">Wolfram  </v>
      </c>
      <c r="B37" s="99">
        <f>IF(AND($B$17="Yes",$B$22="Yes"),Declaration!D53,0)</f>
        <v>0</v>
      </c>
      <c r="C37" s="99" t="str">
        <f ca="1">IF(H37=1,J37,I37)</f>
        <v>Vollständig</v>
      </c>
      <c r="D37" s="314" t="str">
        <f>IF(H37=1,"Click here to answer question 5 for Tungsten","")</f>
        <v/>
      </c>
      <c r="E37" s="81" t="s">
        <v>1307</v>
      </c>
      <c r="F37" s="104">
        <f>F27</f>
        <v>0</v>
      </c>
      <c r="G37" s="78">
        <f>IF(B37=0,1,0)</f>
        <v>1</v>
      </c>
      <c r="H37" s="79">
        <f>F37*G37</f>
        <v>0</v>
      </c>
      <c r="I37" s="170" t="str">
        <f ca="1">OFFSET(L!$C$1,MATCH("Checker"&amp;"Comp",L!$A:$A,0)-1,SL,,)</f>
        <v>Vollständig</v>
      </c>
      <c r="J37" s="171"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99" t="str">
        <f ca="1">Declaration!B55</f>
        <v>6) Wie hoch ist der Prozentsatz an Lieferanten, die auf Ihre Lieferkettenumfrage geantwortet haben?</v>
      </c>
      <c r="B38" s="102"/>
      <c r="C38" s="102"/>
      <c r="D38" s="106"/>
      <c r="E38" s="81" t="s">
        <v>807</v>
      </c>
      <c r="F38" s="103"/>
      <c r="G38" s="24"/>
      <c r="H38" s="24"/>
    </row>
    <row r="39" spans="1:10" ht="26.25">
      <c r="A39" s="100" t="str">
        <f ca="1">Declaration!B56</f>
        <v xml:space="preserve">Tantal  </v>
      </c>
      <c r="B39" s="333">
        <f>IF(AND($B$14="Yes",$B$19="Yes"),Declaration!D56,0)</f>
        <v>0</v>
      </c>
      <c r="C39" s="99" t="str">
        <f ca="1">IF(H39=1,J39,I39)</f>
        <v>Vollständig</v>
      </c>
      <c r="D39" s="315" t="str">
        <f>IF(H39=1,"Click here to answer question 6 for Tantalum","")</f>
        <v/>
      </c>
      <c r="E39" s="81" t="s">
        <v>806</v>
      </c>
      <c r="F39" s="104">
        <f>F24</f>
        <v>0</v>
      </c>
      <c r="G39" s="78">
        <f>IF(B39=0,1,0)</f>
        <v>1</v>
      </c>
      <c r="H39" s="79">
        <f>F39*G39</f>
        <v>0</v>
      </c>
      <c r="I39" s="170" t="str">
        <f ca="1">OFFSET(L!$C$1,MATCH("Checker"&amp;"Comp",L!$A:$A,0)-1,SL,,)</f>
        <v>Vollständig</v>
      </c>
      <c r="J39" s="22" t="str">
        <f ca="1">OFFSET(L!$C$1,MATCH("Checker"&amp;ADDRESS(ROW(),COLUMN(),4),L!$A:$A,0)-1,SL,,)</f>
        <v>Geben Sie den Vollständigkeitsgrad der Schmelzhütteninformationen des Anbieters in Prozent in der Reiterzelle D50 der Erklärung an</v>
      </c>
    </row>
    <row r="40" spans="1:10" ht="26.25">
      <c r="A40" s="100" t="str">
        <f ca="1">Declaration!B57</f>
        <v xml:space="preserve">Zinn  </v>
      </c>
      <c r="B40" s="333">
        <f>IF(AND($B$15="Yes",$B$20="Yes"),Declaration!D57,0)</f>
        <v>0</v>
      </c>
      <c r="C40" s="99" t="str">
        <f ca="1">IF(H40=1,J40,I40)</f>
        <v>Vollständig</v>
      </c>
      <c r="D40" s="315" t="str">
        <f>IF(H40=1,"Click here to answer question 6 for Tin","")</f>
        <v/>
      </c>
      <c r="E40" s="81" t="s">
        <v>806</v>
      </c>
      <c r="F40" s="104">
        <f>F25</f>
        <v>0</v>
      </c>
      <c r="G40" s="78">
        <f>IF(B40=0,1,0)</f>
        <v>1</v>
      </c>
      <c r="H40" s="79">
        <f>F40*G40</f>
        <v>0</v>
      </c>
      <c r="I40" s="170" t="str">
        <f ca="1">OFFSET(L!$C$1,MATCH("Checker"&amp;"Comp",L!$A:$A,0)-1,SL,,)</f>
        <v>Vollständig</v>
      </c>
      <c r="J40" s="22" t="str">
        <f ca="1">OFFSET(L!$C$1,MATCH("Checker"&amp;ADDRESS(ROW(),COLUMN(),4),L!$A:$A,0)-1,SL,,)</f>
        <v>Geben Sie den Vollständigkeitsgrad der Schmelzhütteninformationen des Anbieters in Prozent in der Reiterzelle D51 der Erklärung an</v>
      </c>
    </row>
    <row r="41" spans="1:10" ht="26.25">
      <c r="A41" s="100" t="str">
        <f ca="1">Declaration!B58</f>
        <v xml:space="preserve">Gold  </v>
      </c>
      <c r="B41" s="333">
        <f>IF(AND($B$16="Yes",$B$21="Yes"),Declaration!D58,0)</f>
        <v>0</v>
      </c>
      <c r="C41" s="99" t="str">
        <f ca="1">IF(H41=1,J41,I41)</f>
        <v>Vollständig</v>
      </c>
      <c r="D41" s="315" t="str">
        <f>IF(H41=1,"Click here to answer question 6 for Gold","")</f>
        <v/>
      </c>
      <c r="E41" s="81" t="s">
        <v>806</v>
      </c>
      <c r="F41" s="104">
        <f>F26</f>
        <v>0</v>
      </c>
      <c r="G41" s="78">
        <f>IF(B41=0,1,0)</f>
        <v>1</v>
      </c>
      <c r="H41" s="79">
        <f>F41*G41</f>
        <v>0</v>
      </c>
      <c r="I41" s="170" t="str">
        <f ca="1">OFFSET(L!$C$1,MATCH("Checker"&amp;"Comp",L!$A:$A,0)-1,SL,,)</f>
        <v>Vollständig</v>
      </c>
      <c r="J41" s="22" t="str">
        <f ca="1">OFFSET(L!$C$1,MATCH("Checker"&amp;ADDRESS(ROW(),COLUMN(),4),L!$A:$A,0)-1,SL,,)</f>
        <v>Geben Sie den Vollständigkeitsgrad der Schmelzhütteninformationen des Anbieters in Prozent in der Reiterzelle D52 der Erklärung an</v>
      </c>
    </row>
    <row r="42" spans="1:10" ht="26.25">
      <c r="A42" s="100" t="str">
        <f ca="1">Declaration!B59</f>
        <v xml:space="preserve">Wolfram  </v>
      </c>
      <c r="B42" s="333">
        <f>IF(AND($B$17="Yes",$B$22="Yes"),Declaration!D59,0)</f>
        <v>0</v>
      </c>
      <c r="C42" s="99" t="str">
        <f ca="1">IF(H42=1,J42,I42)</f>
        <v>Vollständig</v>
      </c>
      <c r="D42" s="315" t="str">
        <f>IF(H42=1,"Click here to answer question 6 for Tungsten","")</f>
        <v/>
      </c>
      <c r="E42" s="81" t="s">
        <v>806</v>
      </c>
      <c r="F42" s="104">
        <f>F27</f>
        <v>0</v>
      </c>
      <c r="G42" s="78">
        <f>IF(B42=0,1,0)</f>
        <v>1</v>
      </c>
      <c r="H42" s="79">
        <f>F42*G42</f>
        <v>0</v>
      </c>
      <c r="I42" s="170" t="str">
        <f ca="1">OFFSET(L!$C$1,MATCH("Checker"&amp;"Comp",L!$A:$A,0)-1,SL,,)</f>
        <v>Vollständig</v>
      </c>
      <c r="J42" s="22" t="str">
        <f ca="1">OFFSET(L!$C$1,MATCH("Checker"&amp;ADDRESS(ROW(),COLUMN(),4),L!$A:$A,0)-1,SL,,)</f>
        <v>Geben Sie den Vollständigkeitsgrad der Schmelzhütteninformationen des Anbieters in Prozent in der Reiterzelle D53 der Erklärung an</v>
      </c>
    </row>
    <row r="43" spans="1:10" ht="51">
      <c r="A43" s="99" t="str">
        <f ca="1">Declaration!B61</f>
        <v xml:space="preserve">7) Haben Sie alle Schmelzhütten ermittelt, die das 3TG-Mineral für Ihre Lieferkette bereitstellen? </v>
      </c>
      <c r="B43" s="102"/>
      <c r="C43" s="102"/>
      <c r="D43" s="106"/>
      <c r="E43" s="81" t="s">
        <v>808</v>
      </c>
      <c r="F43" s="103"/>
      <c r="G43" s="24"/>
      <c r="H43" s="24"/>
    </row>
    <row r="44" spans="1:10" ht="51.75">
      <c r="A44" s="100" t="str">
        <f ca="1">Declaration!B62</f>
        <v xml:space="preserve">Tantal  </v>
      </c>
      <c r="B44" s="99">
        <f>IF(AND($B$14="Yes",$B$19="Yes"),Declaration!D62,0)</f>
        <v>0</v>
      </c>
      <c r="C44" s="99" t="str">
        <f ca="1">IF(H44=1,J44,I44)</f>
        <v>Vollständig</v>
      </c>
      <c r="D44" s="314" t="str">
        <f>IF(H44=1,"Click here to answer question 7 for Tantalum","")</f>
        <v/>
      </c>
      <c r="E44" s="81" t="s">
        <v>1303</v>
      </c>
      <c r="F44" s="104">
        <f>F24</f>
        <v>0</v>
      </c>
      <c r="G44" s="78">
        <f>IF(B44=0,1,0)</f>
        <v>1</v>
      </c>
      <c r="H44" s="79">
        <f>F44*G44</f>
        <v>0</v>
      </c>
      <c r="I44" s="170" t="str">
        <f ca="1">OFFSET(L!$C$1,MATCH("Checker"&amp;"Comp",L!$A:$A,0)-1,SL,,)</f>
        <v>Vollständig</v>
      </c>
      <c r="J44" s="22"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100" t="str">
        <f ca="1">Declaration!B63</f>
        <v xml:space="preserve">Zinn  </v>
      </c>
      <c r="B45" s="99">
        <f>IF(AND($B$15="Yes",$B$20="Yes"),Declaration!D63,0)</f>
        <v>0</v>
      </c>
      <c r="C45" s="99" t="str">
        <f ca="1">IF(H45=1,J45,I45)</f>
        <v>Vollständig</v>
      </c>
      <c r="D45" s="314" t="str">
        <f>IF(H45=1,"Click here to answer question 7 for Tin","")</f>
        <v/>
      </c>
      <c r="E45" s="81" t="s">
        <v>1303</v>
      </c>
      <c r="F45" s="104">
        <f>F25</f>
        <v>0</v>
      </c>
      <c r="G45" s="78">
        <f>IF(B45=0,1,0)</f>
        <v>1</v>
      </c>
      <c r="H45" s="79">
        <f>F45*G45</f>
        <v>0</v>
      </c>
      <c r="I45" s="170" t="str">
        <f ca="1">OFFSET(L!$C$1,MATCH("Checker"&amp;"Comp",L!$A:$A,0)-1,SL,,)</f>
        <v>Vollständig</v>
      </c>
      <c r="J45" s="22"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100" t="str">
        <f ca="1">Declaration!B64</f>
        <v xml:space="preserve">Gold  </v>
      </c>
      <c r="B46" s="99">
        <f>IF(AND($B$16="Yes",$B$21="Yes"),Declaration!D64,0)</f>
        <v>0</v>
      </c>
      <c r="C46" s="99" t="str">
        <f ca="1">IF(H46=1,J46,I46)</f>
        <v>Vollständig</v>
      </c>
      <c r="D46" s="314" t="str">
        <f>IF(H46=1,"Click here to answer question 7 for Gold","")</f>
        <v/>
      </c>
      <c r="E46" s="81" t="s">
        <v>1303</v>
      </c>
      <c r="F46" s="104">
        <f>F26</f>
        <v>0</v>
      </c>
      <c r="G46" s="78">
        <f>IF(B46=0,1,0)</f>
        <v>1</v>
      </c>
      <c r="H46" s="79">
        <f>F46*G46</f>
        <v>0</v>
      </c>
      <c r="I46" s="170" t="str">
        <f ca="1">OFFSET(L!$C$1,MATCH("Checker"&amp;"Comp",L!$A:$A,0)-1,SL,,)</f>
        <v>Vollständig</v>
      </c>
      <c r="J46" s="22"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100" t="str">
        <f ca="1">Declaration!B65</f>
        <v xml:space="preserve">Wolfram  </v>
      </c>
      <c r="B47" s="99">
        <f>IF(AND($B$17="Yes",$B$22="Yes"),Declaration!D65,0)</f>
        <v>0</v>
      </c>
      <c r="C47" s="99" t="str">
        <f ca="1">IF(H47=1,J47,I47)</f>
        <v>Vollständig</v>
      </c>
      <c r="D47" s="314" t="str">
        <f>IF(H47=1,"Click here to answer question 7 for Tungsten","")</f>
        <v/>
      </c>
      <c r="E47" s="81" t="s">
        <v>1303</v>
      </c>
      <c r="F47" s="104">
        <f>F27</f>
        <v>0</v>
      </c>
      <c r="G47" s="78">
        <f>IF(B47=0,1,0)</f>
        <v>1</v>
      </c>
      <c r="H47" s="79">
        <f>F47*G47</f>
        <v>0</v>
      </c>
      <c r="I47" s="170" t="str">
        <f ca="1">OFFSET(L!$C$1,MATCH("Checker"&amp;"Comp",L!$A:$A,0)-1,SL,,)</f>
        <v>Vollständig</v>
      </c>
      <c r="J47" s="22"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99" t="str">
        <f ca="1">Declaration!B67</f>
        <v xml:space="preserve">8) Haben Sie alle relevanten Informationen, die Ihr Unternehmen zu den Schmelzhütten erhalten hat, in dieser Erklärung aufgeführt? </v>
      </c>
      <c r="B48" s="102"/>
      <c r="C48" s="102"/>
      <c r="D48" s="106"/>
      <c r="E48" s="81" t="s">
        <v>809</v>
      </c>
      <c r="F48" s="103"/>
      <c r="G48" s="24"/>
      <c r="H48" s="24"/>
    </row>
    <row r="49" spans="1:10" ht="39">
      <c r="A49" s="100" t="str">
        <f ca="1">Declaration!B68</f>
        <v xml:space="preserve">Tantal  </v>
      </c>
      <c r="B49" s="99">
        <f>IF(AND($B$14="Yes",$B$19="Yes"),Declaration!D68,0)</f>
        <v>0</v>
      </c>
      <c r="C49" s="99" t="str">
        <f ca="1">IF(H49=1,J49,I49)</f>
        <v>Vollständig</v>
      </c>
      <c r="D49" s="315" t="str">
        <f>IF(H49=1,"Click here to answer question 8 for Tantalum","")</f>
        <v/>
      </c>
      <c r="E49" s="81" t="s">
        <v>807</v>
      </c>
      <c r="F49" s="104">
        <f>F24</f>
        <v>0</v>
      </c>
      <c r="G49" s="78">
        <f>IF(B49=0,1,0)</f>
        <v>1</v>
      </c>
      <c r="H49" s="79">
        <f>F49*G49</f>
        <v>0</v>
      </c>
      <c r="I49" s="170" t="str">
        <f ca="1">OFFSET(L!$C$1,MATCH("Checker"&amp;"Comp",L!$A:$A,0)-1,SL,,)</f>
        <v>Vollständig</v>
      </c>
      <c r="J49" s="22" t="str">
        <f ca="1">OFFSET(L!$C$1,MATCH("Checker"&amp;ADDRESS(ROW(),COLUMN(),4),L!$A:$A,0)-1,SL,,)</f>
        <v xml:space="preserve">Geben Sie in der Reiterzelle D62 der Erklärung an, ob alle Informationen über Tantalum-Schmelzhütten zur Verfügung gestellt worden sind </v>
      </c>
    </row>
    <row r="50" spans="1:10" ht="39">
      <c r="A50" s="100" t="str">
        <f ca="1">Declaration!B69</f>
        <v xml:space="preserve">Zinn  </v>
      </c>
      <c r="B50" s="99">
        <f>IF(AND($B$15="Yes",$B$20="Yes"),Declaration!D69,0)</f>
        <v>0</v>
      </c>
      <c r="C50" s="99" t="str">
        <f ca="1">IF(H50=1,J50,I50)</f>
        <v>Vollständig</v>
      </c>
      <c r="D50" s="315" t="str">
        <f>IF(H50=1,"Click here to answer question 8 for Tin","")</f>
        <v/>
      </c>
      <c r="E50" s="81" t="s">
        <v>807</v>
      </c>
      <c r="F50" s="104">
        <f>F25</f>
        <v>0</v>
      </c>
      <c r="G50" s="78">
        <f>IF(B50=0,1,0)</f>
        <v>1</v>
      </c>
      <c r="H50" s="79">
        <f>F50*G50</f>
        <v>0</v>
      </c>
      <c r="I50" s="170" t="str">
        <f ca="1">OFFSET(L!$C$1,MATCH("Checker"&amp;"Comp",L!$A:$A,0)-1,SL,,)</f>
        <v>Vollständig</v>
      </c>
      <c r="J50" s="22" t="str">
        <f ca="1">OFFSET(L!$C$1,MATCH("Checker"&amp;ADDRESS(ROW(),COLUMN(),4),L!$A:$A,0)-1,SL,,)</f>
        <v xml:space="preserve">Geben Sie in der Reiterzelle D63 der Erklärung an, ob alle Informationen über Zinn-Schmelzhütten zur Verfügung gestellt worden sind </v>
      </c>
    </row>
    <row r="51" spans="1:10" ht="39">
      <c r="A51" s="100" t="str">
        <f ca="1">Declaration!B70</f>
        <v xml:space="preserve">Gold  </v>
      </c>
      <c r="B51" s="99">
        <f>IF(AND($B$16="Yes",$B$21="Yes"),Declaration!D70,0)</f>
        <v>0</v>
      </c>
      <c r="C51" s="99" t="str">
        <f ca="1">IF(H51=1,J51,I51)</f>
        <v>Vollständig</v>
      </c>
      <c r="D51" s="315" t="str">
        <f>IF(H51=1,"Click here to answer question 8 for Gold","")</f>
        <v/>
      </c>
      <c r="E51" s="81" t="s">
        <v>807</v>
      </c>
      <c r="F51" s="104">
        <f>F26</f>
        <v>0</v>
      </c>
      <c r="G51" s="78">
        <f>IF(B51=0,1,0)</f>
        <v>1</v>
      </c>
      <c r="H51" s="79">
        <f>F51*G51</f>
        <v>0</v>
      </c>
      <c r="I51" s="170" t="str">
        <f ca="1">OFFSET(L!$C$1,MATCH("Checker"&amp;"Comp",L!$A:$A,0)-1,SL,,)</f>
        <v>Vollständig</v>
      </c>
      <c r="J51" s="22" t="str">
        <f ca="1">OFFSET(L!$C$1,MATCH("Checker"&amp;ADDRESS(ROW(),COLUMN(),4),L!$A:$A,0)-1,SL,,)</f>
        <v>Geben Sie in der Reiterzelle D64 der Erklärung an, ob alle Informationen über Gold-Schmelzhütten zur Verfügung gestellt worden sind</v>
      </c>
    </row>
    <row r="52" spans="1:10" ht="39">
      <c r="A52" s="100" t="str">
        <f ca="1">Declaration!B71</f>
        <v xml:space="preserve">Wolfram  </v>
      </c>
      <c r="B52" s="99">
        <f>IF(AND($B$17="Yes",$B$22="Yes"),Declaration!D71,0)</f>
        <v>0</v>
      </c>
      <c r="C52" s="99" t="str">
        <f ca="1">IF(H52=1,J52,I52)</f>
        <v>Vollständig</v>
      </c>
      <c r="D52" s="315" t="str">
        <f>IF(H52=1,"Click here to answer question 8 for Tungsten","")</f>
        <v/>
      </c>
      <c r="E52" s="81" t="s">
        <v>807</v>
      </c>
      <c r="F52" s="104">
        <f>F27</f>
        <v>0</v>
      </c>
      <c r="G52" s="78">
        <f>IF(B52=0,1,0)</f>
        <v>1</v>
      </c>
      <c r="H52" s="79">
        <f>F52*G52</f>
        <v>0</v>
      </c>
      <c r="I52" s="170" t="str">
        <f ca="1">OFFSET(L!$C$1,MATCH("Checker"&amp;"Comp",L!$A:$A,0)-1,SL,,)</f>
        <v>Vollständig</v>
      </c>
      <c r="J52" s="22" t="str">
        <f ca="1">OFFSET(L!$C$1,MATCH("Checker"&amp;ADDRESS(ROW(),COLUMN(),4),L!$A:$A,0)-1,SL,,)</f>
        <v xml:space="preserve">Geben Sie in der Reiterzelle D65 der Erklärung an, ob alle Informationen über Tungsten-Schmelzhütten zur Verfügung gestellt worden sind </v>
      </c>
    </row>
    <row r="53" spans="1:10" ht="25.5">
      <c r="A53" s="99" t="str">
        <f ca="1">Declaration!B74</f>
        <v>Frage</v>
      </c>
      <c r="B53" s="102"/>
      <c r="C53" s="102"/>
      <c r="D53" s="106"/>
      <c r="E53" s="81" t="s">
        <v>441</v>
      </c>
      <c r="F53" s="103"/>
      <c r="G53" s="103"/>
      <c r="H53" s="103"/>
    </row>
    <row r="54" spans="1:10" ht="39">
      <c r="A54" s="99" t="str">
        <f ca="1">Declaration!B75</f>
        <v>A. Haben Sie eine konfliktfreie Beschaffungsrichtlinie für Mineralien erstellt?</v>
      </c>
      <c r="B54" s="99" t="str">
        <f>Declaration!D75</f>
        <v>No</v>
      </c>
      <c r="C54" s="99" t="str">
        <f t="shared" ref="C54:C60" ca="1" si="10">IF(H54=1,J54,I54)</f>
        <v>Vollständig</v>
      </c>
      <c r="D54" s="105" t="str">
        <f>IF(H54=1,"Click here to answer question (A)","")</f>
        <v/>
      </c>
      <c r="E54" s="81" t="s">
        <v>1307</v>
      </c>
      <c r="F54" s="104">
        <f>IF(SUM(F$24:F$27)=0,0,1)</f>
        <v>0</v>
      </c>
      <c r="G54" s="78">
        <f>IF(B54=0,1,0)</f>
        <v>0</v>
      </c>
      <c r="H54" s="79">
        <f t="shared" ref="H54:H60" si="11">F54*G54</f>
        <v>0</v>
      </c>
      <c r="I54" s="170" t="str">
        <f ca="1">OFFSET(L!$C$1,MATCH("Checker"&amp;"Comp",L!$A:$A,0)-1,SL,,)</f>
        <v>Vollständig</v>
      </c>
      <c r="J54" s="22"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99" t="str">
        <f ca="1">Declaration!B77</f>
        <v>B. Ist Ihre konfliktfreie Beschaffungsrichtlinie für Mineralien auf Ihrer Website einsehbar? (Hinweis - Wenn „Ja“, sollte der Benutzer die URL im Anmerkungsfeld angeben.)</v>
      </c>
      <c r="B55" s="99" t="str">
        <f>Declaration!D77</f>
        <v>No</v>
      </c>
      <c r="C55" s="99" t="str">
        <f t="shared" ca="1" si="10"/>
        <v>Vollständig</v>
      </c>
      <c r="D55" s="105" t="str">
        <f>IF(H55=1,"Click here to answer question (B)","")</f>
        <v/>
      </c>
      <c r="E55" s="81" t="s">
        <v>1307</v>
      </c>
      <c r="F55" s="104">
        <f t="shared" ref="F55" si="12">F$54</f>
        <v>0</v>
      </c>
      <c r="G55" s="78">
        <f>IF(B55=0,1,0)</f>
        <v>0</v>
      </c>
      <c r="H55" s="79">
        <f t="shared" si="11"/>
        <v>0</v>
      </c>
      <c r="I55" s="170"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99" t="s">
        <v>5</v>
      </c>
      <c r="B56" s="99">
        <f>Declaration!G77</f>
        <v>0</v>
      </c>
      <c r="C56" s="99" t="str">
        <f t="shared" ca="1" si="10"/>
        <v>Vollständig</v>
      </c>
      <c r="D56" s="105" t="str">
        <f>IF(H56=1,"Click here to specify URL for question (B)","")</f>
        <v/>
      </c>
      <c r="E56" s="81"/>
      <c r="F56" s="104">
        <f>IF(AND(F55=1,B55="Yes"),1,0)</f>
        <v>0</v>
      </c>
      <c r="G56" s="78">
        <f>IF(LEN(B56)&gt;1,0,1)</f>
        <v>1</v>
      </c>
      <c r="H56" s="79">
        <f t="shared" si="11"/>
        <v>0</v>
      </c>
      <c r="I56" s="170" t="str">
        <f ca="1">OFFSET(L!$C$1,MATCH("Checker"&amp;"Comp",L!$A:$A,0)-1,SL,,)</f>
        <v>Vollständig</v>
      </c>
      <c r="J56" s="162" t="str">
        <f ca="1">OFFSET(L!$C$1,MATCH("Checker"&amp;ADDRESS(ROW(),COLUMN(),4),L!$A:$A,0)-1,SL,,)</f>
        <v xml:space="preserve">Geben Sie in der Arbeitsblattzelle D77 der Erklärung den URL an, falls Sie Frage B mit „Ja“ beantworten. Das Format des URL sollte „www.companyname.com“ entsprechen </v>
      </c>
    </row>
    <row r="57" spans="1:10" ht="63.75">
      <c r="A57" s="99" t="str">
        <f ca="1">Declaration!B79</f>
        <v>C. Verlangen Sie von Ihren direkten Lieferanten, das 3TG-Mineral ausschließlich von Schmelzhütten zu beziehen, deren Sorgfaltspflichts-Praktiken von einer unabhängigen Instanz überprüft wurden?</v>
      </c>
      <c r="B57" s="99" t="str">
        <f>Declaration!D79</f>
        <v>Yes</v>
      </c>
      <c r="C57" s="99" t="str">
        <f t="shared" ca="1" si="10"/>
        <v>Vollständig</v>
      </c>
      <c r="D57" s="105" t="str">
        <f>IF(H57=1,"Click here to answer question (C)","")</f>
        <v/>
      </c>
      <c r="E57" s="81" t="s">
        <v>1307</v>
      </c>
      <c r="F57" s="104">
        <f>F$54</f>
        <v>0</v>
      </c>
      <c r="G57" s="78">
        <f>IF(B57=0,1,0)</f>
        <v>0</v>
      </c>
      <c r="H57" s="79">
        <f t="shared" si="11"/>
        <v>0</v>
      </c>
      <c r="I57" s="170" t="str">
        <f ca="1">OFFSET(L!$C$1,MATCH("Checker"&amp;"Comp",L!$A:$A,0)-1,SL,,)</f>
        <v>Vollständig</v>
      </c>
      <c r="J57" s="22"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99" t="str">
        <f ca="1">Declaration!B81</f>
        <v>D. Haben Sie Sorgfaltspflichtmaßnahmen für die konfliktfreie Beschaffung in Kraft gesetzt?</v>
      </c>
      <c r="B58" s="99" t="str">
        <f>Declaration!D81</f>
        <v>Yes</v>
      </c>
      <c r="C58" s="99" t="str">
        <f t="shared" ca="1" si="10"/>
        <v>Vollständig</v>
      </c>
      <c r="D58" s="105" t="str">
        <f>IF(H58=1,"Click here to answer question (D)","")</f>
        <v/>
      </c>
      <c r="E58" s="81" t="s">
        <v>1307</v>
      </c>
      <c r="F58" s="104">
        <f>F$54</f>
        <v>0</v>
      </c>
      <c r="G58" s="78">
        <f>IF(B58=0,1,0)</f>
        <v>0</v>
      </c>
      <c r="H58" s="79">
        <f t="shared" si="11"/>
        <v>0</v>
      </c>
      <c r="I58" s="170" t="str">
        <f ca="1">OFFSET(L!$C$1,MATCH("Checker"&amp;"Comp",L!$A:$A,0)-1,SL,,)</f>
        <v>Vollständig</v>
      </c>
      <c r="J58" s="22" t="str">
        <f ca="1">OFFSET(L!$C$1,MATCH("Checker"&amp;ADDRESS(ROW(),COLUMN(),4),L!$A:$A,0)-1,SL,,)</f>
        <v>Geben Sie in der Reiterzelle D81 der Erklärung an, ob Sie von Ihren Lieferanten Namen von Schmelzhütten verlangen</v>
      </c>
    </row>
    <row r="59" spans="1:10" ht="39">
      <c r="A59" s="99" t="str">
        <f ca="1">Declaration!B83</f>
        <v>E. Veranstaltet Ihr Unternehmen (eine) Konfliktmineralienumfrage(n) mit seinen entsprechenden Lieferanten?</v>
      </c>
      <c r="B59" s="99" t="str">
        <f>Declaration!D83</f>
        <v>Yes, in conformance with IPC1755 (e.g., CMRT)</v>
      </c>
      <c r="C59" s="99" t="str">
        <f t="shared" ca="1" si="10"/>
        <v>Vollständig</v>
      </c>
      <c r="D59" s="105" t="str">
        <f>IF(H59=1,"Click here to answer question (E)","")</f>
        <v/>
      </c>
      <c r="E59" s="81" t="s">
        <v>1307</v>
      </c>
      <c r="F59" s="104">
        <f>F$54</f>
        <v>0</v>
      </c>
      <c r="G59" s="78">
        <f>IF(B59=0,1,0)</f>
        <v>0</v>
      </c>
      <c r="H59" s="79">
        <f t="shared" si="11"/>
        <v>0</v>
      </c>
      <c r="I59" s="170"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39">
      <c r="A60" s="99" t="str">
        <f ca="1">Declaration!B85</f>
        <v>F. Überprüfen Sie die Sorgfaltspflichts-Informationen, die Sie von ihren Lieferanten erhalten, anhand der Erwartungen Ihres Unternehmens?</v>
      </c>
      <c r="B60" s="99" t="str">
        <f>Declaration!D85</f>
        <v>Yes</v>
      </c>
      <c r="C60" s="99" t="str">
        <f t="shared" ca="1" si="10"/>
        <v>Vollständig</v>
      </c>
      <c r="D60" s="105" t="str">
        <f>IF(H60=1,"Click here to answer question (F)","")</f>
        <v/>
      </c>
      <c r="E60" s="81" t="s">
        <v>1307</v>
      </c>
      <c r="F60" s="104">
        <f>F$54</f>
        <v>0</v>
      </c>
      <c r="G60" s="78">
        <f>IF(B60=0,1,0)</f>
        <v>0</v>
      </c>
      <c r="H60" s="79">
        <f t="shared" si="11"/>
        <v>0</v>
      </c>
      <c r="I60" s="170"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5" hidden="1">
      <c r="A61" s="99"/>
      <c r="B61" s="99"/>
      <c r="C61" s="99"/>
      <c r="D61" s="105"/>
      <c r="E61" s="81"/>
      <c r="F61" s="104"/>
      <c r="G61" s="78"/>
      <c r="H61" s="79"/>
      <c r="I61" s="170"/>
    </row>
    <row r="62" spans="1:10" ht="39">
      <c r="A62" s="99" t="str">
        <f ca="1">Declaration!B87</f>
        <v>G. Sieht Ihr Review-Prozess ein Korrekturmaßnahmen-Management vor?</v>
      </c>
      <c r="B62" s="99" t="str">
        <f>Declaration!D87</f>
        <v>Yes</v>
      </c>
      <c r="C62" s="99" t="str">
        <f t="shared" ref="C62:C68" ca="1" si="13">IF(H62=1,J62,I62)</f>
        <v>Vollständig</v>
      </c>
      <c r="D62" s="105" t="str">
        <f>IF(H62=1,"Click here to answer question (G)","")</f>
        <v/>
      </c>
      <c r="E62" s="81" t="s">
        <v>1307</v>
      </c>
      <c r="F62" s="104">
        <f>F$54</f>
        <v>0</v>
      </c>
      <c r="G62" s="78">
        <f>IF(B62=0,1,0)</f>
        <v>0</v>
      </c>
      <c r="H62" s="79">
        <f t="shared" ref="H62:H69" si="14">F62*G62</f>
        <v>0</v>
      </c>
      <c r="I62" s="170"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99" t="str">
        <f ca="1">Declaration!B89</f>
        <v>H. Ist Ihr Unternehmen zu einer jährlichen Offenlegung der Konfliktmineralien verpflichtet?</v>
      </c>
      <c r="B63" s="99" t="str">
        <f>Declaration!D89</f>
        <v>No</v>
      </c>
      <c r="C63" s="99" t="str">
        <f t="shared" ca="1" si="13"/>
        <v>Vollständig</v>
      </c>
      <c r="D63" s="105" t="str">
        <f>IF(H63=1,"Click here to answer question (H)","")</f>
        <v/>
      </c>
      <c r="E63" s="81" t="s">
        <v>1307</v>
      </c>
      <c r="F63" s="104">
        <f>F$54</f>
        <v>0</v>
      </c>
      <c r="G63" s="78">
        <f>IF(B63=0,1,0)</f>
        <v>0</v>
      </c>
      <c r="H63" s="79">
        <f t="shared" si="14"/>
        <v>0</v>
      </c>
      <c r="I63" s="170"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99" t="s">
        <v>1300</v>
      </c>
      <c r="B64" s="99" t="str">
        <f ca="1">IF(G64=1,"No products or item numbers listed","One or more product / item numbers have been provided")</f>
        <v>No products or item numbers listed</v>
      </c>
      <c r="C64" s="99" t="str">
        <f t="shared" ca="1" si="13"/>
        <v>Vollständig</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99" t="s">
        <v>15262</v>
      </c>
      <c r="B65" s="99"/>
      <c r="C65" s="99" t="str">
        <f t="shared" ca="1" si="13"/>
        <v>Vollständig</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Vollständig</v>
      </c>
      <c r="J65" s="22" t="str">
        <f ca="1">OFFSET(L!$C$1,MATCH("Checker"&amp;ADDRESS(ROW(),COLUMN(),4),L!$A:$A,0)-1,SL,,)</f>
        <v xml:space="preserve">Geben Sie im Reiter „Smelter List“ eine Liste von Tantalum-Schmelzhütten ein, die Material für die Lieferkette beitragen </v>
      </c>
      <c r="K65" s="177">
        <f>IF(H14+H19&gt;0,1,0)</f>
        <v>0</v>
      </c>
      <c r="L65" s="22" t="e">
        <f ca="1">OFFSET(L!$C$1,MATCH("Checker"&amp;ADDRESS(ROW(),COLUMN(),4),L!$A:$A,0)-1,SL,,)</f>
        <v>#N/A</v>
      </c>
    </row>
    <row r="66" spans="1:12" ht="39">
      <c r="A66" s="99" t="s">
        <v>1865</v>
      </c>
      <c r="B66" s="99"/>
      <c r="C66" s="99" t="str">
        <f t="shared" ca="1" si="13"/>
        <v>Vollständig</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Vollständig</v>
      </c>
      <c r="J66" s="22" t="str">
        <f ca="1">OFFSET(L!$C$1,MATCH("Checker"&amp;ADDRESS(ROW(),COLUMN(),4),L!$A:$A,0)-1,SL,,)</f>
        <v xml:space="preserve">Geben Sie im Reiter „Smelter List“ eine Liste von Zinn-Schmelzhütten ein, die Material für die Lieferkette beitragen    </v>
      </c>
      <c r="K66" s="177">
        <f>IF(H15+H20&gt;0,1,0)</f>
        <v>0</v>
      </c>
      <c r="L66" s="22" t="e">
        <f ca="1">OFFSET(L!$C$1,MATCH("Checker"&amp;ADDRESS(ROW(),COLUMN(),4),L!$A:$A,0)-1,SL,,)</f>
        <v>#N/A</v>
      </c>
    </row>
    <row r="67" spans="1:12" ht="39">
      <c r="A67" s="99" t="s">
        <v>1866</v>
      </c>
      <c r="B67" s="99"/>
      <c r="C67" s="99" t="str">
        <f t="shared" ca="1" si="13"/>
        <v>Vollständig</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Vollständig</v>
      </c>
      <c r="J67" s="22" t="str">
        <f ca="1">OFFSET(L!$C$1,MATCH("Checker"&amp;ADDRESS(ROW(),COLUMN(),4),L!$A:$A,0)-1,SL,,)</f>
        <v xml:space="preserve">Geben Sie im Reiter „Smelter List“ eine Liste von Gold-Schmelzhütten ein, die Material für die Lieferkette beitragen  </v>
      </c>
      <c r="K67" s="177">
        <f>IF(H16+H21&gt;0,1,0)</f>
        <v>0</v>
      </c>
      <c r="L67" s="22" t="e">
        <f ca="1">OFFSET(L!$C$1,MATCH("Checker"&amp;ADDRESS(ROW(),COLUMN(),4),L!$A:$A,0)-1,SL,,)</f>
        <v>#N/A</v>
      </c>
    </row>
    <row r="68" spans="1:12" ht="39">
      <c r="A68" s="99" t="s">
        <v>1867</v>
      </c>
      <c r="B68" s="99"/>
      <c r="C68" s="99" t="str">
        <f t="shared" ca="1" si="13"/>
        <v>Vollständig</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Vollständig</v>
      </c>
      <c r="J68" s="22" t="str">
        <f ca="1">OFFSET(L!$C$1,MATCH("Checker"&amp;ADDRESS(ROW(),COLUMN(),4),L!$A:$A,0)-1,SL,,)</f>
        <v xml:space="preserve">Geben Sie im Reiter „Smelter List“ eine Liste von Tungsten-Schmelzhütten ein, die Material für die Lieferkette beitragen  </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Vollständig</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Abschluss nur erforderlich, wenn die Ebene "Produkt (oder eine Liste von Produkten)" auf der "Erklärung" Arbeitsblatt ausgewählt wurde-</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Produkt- oder Artikelnummer (*)</v>
      </c>
      <c r="C5" s="154" t="str">
        <f ca="1">OFFSET(L!$C$1,MATCH("Product List"&amp;ADDRESS(ROW(),COLUMN(),4),L!$A:$A,0)-1,SL,,)</f>
        <v>Produkt- oder Artikelbeschreibung</v>
      </c>
      <c r="D5" s="82" t="str">
        <f ca="1">OFFSET(L!$C$1,MATCH("Product List"&amp;ADDRESS(ROW(),COLUMN(),4),L!$A:$A,0)-1,SL,,)</f>
        <v>Kommentare</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Metall</v>
      </c>
      <c r="B4" s="219" t="str">
        <f ca="1">OFFSET(L!$C$1,MATCH("Smelter Look-up"&amp;ADDRESS(ROW(),COLUMN(),4),L!$A:$A,0)-1,SL,,)</f>
        <v>Schmelzhüttensuche (*)</v>
      </c>
      <c r="C4" s="219" t="str">
        <f ca="1">OFFSET(L!$C$1,MATCH("Smelter Look-up"&amp;ADDRESS(ROW(),COLUMN(),4),L!$A:$A,0)-1,SL,,)</f>
        <v>Standard Schmelzhütten Namen</v>
      </c>
      <c r="D4" s="219" t="str">
        <f ca="1">OFFSET(L!$C$1,MATCH("Smelter Look-up"&amp;ADDRESS(ROW(),COLUMN(),4),L!$A:$A,0)-1,SL,,)</f>
        <v>Schmelzhütte: Land</v>
      </c>
      <c r="E4" s="219" t="str">
        <f ca="1">OFFSET(L!$C$1,MATCH("Smelter Look-up"&amp;ADDRESS(ROW(),COLUMN(),4),L!$A:$A,0)-1,SL,,)</f>
        <v>Schmelzhütten-ID</v>
      </c>
      <c r="F4" s="219" t="str">
        <f ca="1">OFFSET(L!$C$1,MATCH("Smelter Look-up"&amp;ADDRESS(ROW(),COLUMN(),4),L!$A:$A,0)-1,SL,,)</f>
        <v>Quelle der Schmelzhütte Id-Nummer</v>
      </c>
      <c r="G4" s="219" t="str">
        <f ca="1">OFFSET(L!$C$1,MATCH("Smelter Look-up"&amp;ADDRESS(ROW(),COLUMN(),4),L!$A:$A,0)-1,SL,,)</f>
        <v>Schmelzhütten: Straße</v>
      </c>
      <c r="H4" s="219" t="str">
        <f ca="1">OFFSET(L!$C$1,MATCH("Smelter Look-up"&amp;ADDRESS(ROW(),COLUMN(),4),L!$A:$A,0)-1,SL,,)</f>
        <v>Schmelzhütten: Stadt</v>
      </c>
      <c r="I4" s="219" t="str">
        <f ca="1">OFFSET(L!$C$1,MATCH("Smelter Look-up"&amp;ADDRESS(ROW(),COLUMN(),4),L!$A:$A,0)-1,SL,,)</f>
        <v>Schmelzhütten: Bundesland/Provinz</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a54701f6-876b-4337-a24e-543e1bd311e6"/>
    <ds:schemaRef ds:uri="6e8a5f3d-031c-4996-804e-0e28298fe1e2"/>
    <ds:schemaRef ds:uri="http://www.w3.org/XML/1998/namespac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Eda Oezkan</cp:lastModifiedBy>
  <cp:lastPrinted>2015-04-21T20:47:43Z</cp:lastPrinted>
  <dcterms:created xsi:type="dcterms:W3CDTF">2010-06-21T21:00:23Z</dcterms:created>
  <dcterms:modified xsi:type="dcterms:W3CDTF">2022-06-30T05:35:03Z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